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Pmspa\Downloads\"/>
    </mc:Choice>
  </mc:AlternateContent>
  <bookViews>
    <workbookView xWindow="0" yWindow="0" windowWidth="21570" windowHeight="8145" tabRatio="986" activeTab="1"/>
  </bookViews>
  <sheets>
    <sheet name="Quadro Resumo" sheetId="66" r:id="rId1"/>
    <sheet name="1" sheetId="65" r:id="rId2"/>
    <sheet name="2" sheetId="67" r:id="rId3"/>
    <sheet name="3" sheetId="68" r:id="rId4"/>
    <sheet name="4" sheetId="69" r:id="rId5"/>
    <sheet name="5" sheetId="70" r:id="rId6"/>
    <sheet name="6" sheetId="71" r:id="rId7"/>
    <sheet name="7" sheetId="72" r:id="rId8"/>
    <sheet name="8" sheetId="73" r:id="rId9"/>
    <sheet name="9" sheetId="74" r:id="rId10"/>
  </sheets>
  <externalReferences>
    <externalReference r:id="rId11"/>
  </externalReferences>
  <definedNames>
    <definedName name="_xlnm.Print_Area" localSheetId="1">'1'!$A$1:$D$148</definedName>
    <definedName name="_xlnm.Print_Area" localSheetId="2">'2'!$A$1:$D$148</definedName>
    <definedName name="_xlnm.Print_Area" localSheetId="3">'3'!$A$1:$D$148</definedName>
    <definedName name="_xlnm.Print_Area" localSheetId="4">'4'!$A$1:$D$148</definedName>
    <definedName name="_xlnm.Print_Area" localSheetId="5">'5'!$A$1:$D$148</definedName>
    <definedName name="_xlnm.Print_Area" localSheetId="6">'6'!$A$1:$D$148</definedName>
    <definedName name="_xlnm.Print_Area" localSheetId="7">'7'!$A$1:$D$148</definedName>
    <definedName name="_xlnm.Print_Area" localSheetId="8">'8'!$A$1:$D$148</definedName>
    <definedName name="_xlnm.Print_Area" localSheetId="9">'9'!$A$1:$D$148</definedName>
    <definedName name="_xlnm.Print_Area" localSheetId="0">'Quadro Resumo'!$C$3:$M$15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9" i="73" l="1"/>
  <c r="C119" i="68"/>
  <c r="T13" i="66"/>
  <c r="T12" i="66"/>
  <c r="T11" i="66"/>
  <c r="T9" i="66"/>
  <c r="T8" i="66"/>
  <c r="T7" i="66"/>
  <c r="T6" i="66"/>
  <c r="T5" i="66"/>
  <c r="C119" i="67"/>
  <c r="O9" i="66"/>
  <c r="O8" i="66"/>
  <c r="O7" i="66"/>
  <c r="O6" i="66"/>
  <c r="O5" i="66"/>
  <c r="I14" i="66"/>
  <c r="D115" i="74" s="1"/>
  <c r="D137" i="74" s="1"/>
  <c r="G5" i="66"/>
  <c r="C124" i="74"/>
  <c r="C125" i="74" s="1"/>
  <c r="C129" i="74" s="1"/>
  <c r="C120" i="74"/>
  <c r="C119" i="74"/>
  <c r="D102" i="74"/>
  <c r="D107" i="74" s="1"/>
  <c r="C95" i="74"/>
  <c r="C94" i="74"/>
  <c r="C93" i="74"/>
  <c r="C92" i="74"/>
  <c r="C91" i="74"/>
  <c r="C90" i="74"/>
  <c r="C81" i="74"/>
  <c r="C82" i="74" s="1"/>
  <c r="C79" i="74"/>
  <c r="C78" i="74"/>
  <c r="F64" i="74"/>
  <c r="D61" i="74" s="1"/>
  <c r="C50" i="74"/>
  <c r="C56" i="74" s="1"/>
  <c r="C41" i="74"/>
  <c r="C42" i="74" s="1"/>
  <c r="C40" i="74"/>
  <c r="A15" i="74"/>
  <c r="D14" i="74"/>
  <c r="D146" i="74" s="1"/>
  <c r="A14" i="74"/>
  <c r="D20" i="74" s="1"/>
  <c r="D23" i="74" s="1"/>
  <c r="D11" i="74"/>
  <c r="D8" i="74"/>
  <c r="C124" i="73"/>
  <c r="C125" i="73" s="1"/>
  <c r="C129" i="73" s="1"/>
  <c r="C120" i="73"/>
  <c r="D102" i="73"/>
  <c r="D107" i="73" s="1"/>
  <c r="C95" i="73"/>
  <c r="C94" i="73"/>
  <c r="C93" i="73"/>
  <c r="C92" i="73"/>
  <c r="C91" i="73"/>
  <c r="C90" i="73"/>
  <c r="C81" i="73"/>
  <c r="C78" i="73"/>
  <c r="C79" i="73" s="1"/>
  <c r="F64" i="73"/>
  <c r="D61" i="73" s="1"/>
  <c r="C56" i="73"/>
  <c r="C50" i="73"/>
  <c r="C41" i="73"/>
  <c r="C40" i="73"/>
  <c r="A15" i="73"/>
  <c r="D14" i="73"/>
  <c r="D146" i="73" s="1"/>
  <c r="A14" i="73"/>
  <c r="D20" i="73" s="1"/>
  <c r="D23" i="73" s="1"/>
  <c r="D11" i="73"/>
  <c r="D8" i="73"/>
  <c r="C124" i="72"/>
  <c r="C125" i="72" s="1"/>
  <c r="C129" i="72" s="1"/>
  <c r="C120" i="72"/>
  <c r="C119" i="72"/>
  <c r="D102" i="72"/>
  <c r="D107" i="72" s="1"/>
  <c r="C95" i="72"/>
  <c r="C94" i="72"/>
  <c r="C93" i="72"/>
  <c r="C92" i="72"/>
  <c r="C91" i="72"/>
  <c r="C90" i="72"/>
  <c r="C81" i="72"/>
  <c r="C78" i="72"/>
  <c r="F64" i="72"/>
  <c r="D61" i="72" s="1"/>
  <c r="C50" i="72"/>
  <c r="C56" i="72" s="1"/>
  <c r="C82" i="72" s="1"/>
  <c r="C41" i="72"/>
  <c r="C40" i="72"/>
  <c r="C42" i="72" s="1"/>
  <c r="A15" i="72"/>
  <c r="D14" i="72"/>
  <c r="D146" i="72" s="1"/>
  <c r="A14" i="72"/>
  <c r="D20" i="72" s="1"/>
  <c r="D23" i="72" s="1"/>
  <c r="D11" i="72"/>
  <c r="D8" i="72"/>
  <c r="C124" i="71"/>
  <c r="C125" i="71" s="1"/>
  <c r="C129" i="71" s="1"/>
  <c r="C120" i="71"/>
  <c r="C119" i="71"/>
  <c r="D102" i="71"/>
  <c r="D107" i="71" s="1"/>
  <c r="C95" i="71"/>
  <c r="C94" i="71"/>
  <c r="C93" i="71"/>
  <c r="C92" i="71"/>
  <c r="C91" i="71"/>
  <c r="C90" i="71"/>
  <c r="C81" i="71"/>
  <c r="C79" i="71"/>
  <c r="C78" i="71"/>
  <c r="F64" i="71"/>
  <c r="D61" i="71" s="1"/>
  <c r="C50" i="71"/>
  <c r="C56" i="71" s="1"/>
  <c r="C41" i="71"/>
  <c r="C42" i="71" s="1"/>
  <c r="C40" i="71"/>
  <c r="A15" i="71"/>
  <c r="D14" i="71"/>
  <c r="D146" i="71" s="1"/>
  <c r="A14" i="71"/>
  <c r="D20" i="71" s="1"/>
  <c r="D23" i="71" s="1"/>
  <c r="D11" i="71"/>
  <c r="D8" i="71"/>
  <c r="C124" i="70"/>
  <c r="C125" i="70" s="1"/>
  <c r="C129" i="70" s="1"/>
  <c r="C120" i="70"/>
  <c r="C119" i="70"/>
  <c r="D102" i="70"/>
  <c r="D107" i="70" s="1"/>
  <c r="C95" i="70"/>
  <c r="C94" i="70"/>
  <c r="C93" i="70"/>
  <c r="C92" i="70"/>
  <c r="C91" i="70"/>
  <c r="C90" i="70"/>
  <c r="C81" i="70"/>
  <c r="C78" i="70"/>
  <c r="F64" i="70"/>
  <c r="D61" i="70" s="1"/>
  <c r="C50" i="70"/>
  <c r="C56" i="70" s="1"/>
  <c r="C82" i="70" s="1"/>
  <c r="C41" i="70"/>
  <c r="C40" i="70"/>
  <c r="C42" i="70" s="1"/>
  <c r="A15" i="70"/>
  <c r="D14" i="70"/>
  <c r="D146" i="70" s="1"/>
  <c r="A14" i="70"/>
  <c r="D20" i="70" s="1"/>
  <c r="D23" i="70" s="1"/>
  <c r="D11" i="70"/>
  <c r="D8" i="70"/>
  <c r="C124" i="69"/>
  <c r="C125" i="69" s="1"/>
  <c r="C129" i="69" s="1"/>
  <c r="C120" i="69"/>
  <c r="C119" i="69"/>
  <c r="D102" i="69"/>
  <c r="D107" i="69" s="1"/>
  <c r="C95" i="69"/>
  <c r="C94" i="69"/>
  <c r="C93" i="69"/>
  <c r="C92" i="69"/>
  <c r="C91" i="69"/>
  <c r="C90" i="69"/>
  <c r="C97" i="69" s="1"/>
  <c r="C81" i="69"/>
  <c r="C82" i="69" s="1"/>
  <c r="C79" i="69"/>
  <c r="C78" i="69"/>
  <c r="F64" i="69"/>
  <c r="D61" i="69" s="1"/>
  <c r="C56" i="69"/>
  <c r="C50" i="69"/>
  <c r="C41" i="69"/>
  <c r="C40" i="69"/>
  <c r="C42" i="69" s="1"/>
  <c r="A15" i="69"/>
  <c r="D14" i="69"/>
  <c r="D146" i="69" s="1"/>
  <c r="A14" i="69"/>
  <c r="D20" i="69" s="1"/>
  <c r="D23" i="69" s="1"/>
  <c r="D11" i="69"/>
  <c r="D8" i="69"/>
  <c r="C124" i="68"/>
  <c r="C125" i="68" s="1"/>
  <c r="C129" i="68" s="1"/>
  <c r="C120" i="68"/>
  <c r="D102" i="68"/>
  <c r="D107" i="68" s="1"/>
  <c r="C95" i="68"/>
  <c r="C94" i="68"/>
  <c r="C93" i="68"/>
  <c r="C92" i="68"/>
  <c r="C91" i="68"/>
  <c r="C90" i="68"/>
  <c r="C81" i="68"/>
  <c r="C78" i="68"/>
  <c r="F64" i="68"/>
  <c r="D61" i="68" s="1"/>
  <c r="C50" i="68"/>
  <c r="C56" i="68" s="1"/>
  <c r="C41" i="68"/>
  <c r="C40" i="68"/>
  <c r="C42" i="68" s="1"/>
  <c r="A15" i="68"/>
  <c r="D14" i="68"/>
  <c r="D146" i="68" s="1"/>
  <c r="A14" i="68"/>
  <c r="D20" i="68" s="1"/>
  <c r="D23" i="68" s="1"/>
  <c r="D11" i="68"/>
  <c r="D8" i="68"/>
  <c r="C124" i="67"/>
  <c r="C125" i="67" s="1"/>
  <c r="C129" i="67" s="1"/>
  <c r="C120" i="67"/>
  <c r="D102" i="67"/>
  <c r="D107" i="67" s="1"/>
  <c r="C95" i="67"/>
  <c r="C94" i="67"/>
  <c r="C93" i="67"/>
  <c r="C92" i="67"/>
  <c r="C91" i="67"/>
  <c r="C90" i="67"/>
  <c r="C81" i="67"/>
  <c r="C78" i="67"/>
  <c r="C79" i="67" s="1"/>
  <c r="F64" i="67"/>
  <c r="D61" i="67" s="1"/>
  <c r="C50" i="67"/>
  <c r="C56" i="67" s="1"/>
  <c r="C82" i="67" s="1"/>
  <c r="C41" i="67"/>
  <c r="C40" i="67"/>
  <c r="A15" i="67"/>
  <c r="D14" i="67"/>
  <c r="D146" i="67" s="1"/>
  <c r="A14" i="67"/>
  <c r="D20" i="67" s="1"/>
  <c r="D23" i="67" s="1"/>
  <c r="D11" i="67"/>
  <c r="D8" i="67"/>
  <c r="D22" i="65"/>
  <c r="D28" i="65" s="1"/>
  <c r="G7" i="66"/>
  <c r="D22" i="68" s="1"/>
  <c r="D28" i="68" s="1"/>
  <c r="D60" i="68" s="1"/>
  <c r="G6" i="66"/>
  <c r="D22" i="67" s="1"/>
  <c r="D28" i="67" s="1"/>
  <c r="G8" i="66"/>
  <c r="D22" i="69" s="1"/>
  <c r="D28" i="69" s="1"/>
  <c r="G14" i="66"/>
  <c r="D22" i="74" s="1"/>
  <c r="D28" i="74" s="1"/>
  <c r="D30" i="74" s="1"/>
  <c r="G13" i="66"/>
  <c r="D22" i="73" s="1"/>
  <c r="D28" i="73" s="1"/>
  <c r="G12" i="66"/>
  <c r="D22" i="72" s="1"/>
  <c r="D28" i="72" s="1"/>
  <c r="G11" i="66"/>
  <c r="D22" i="71" s="1"/>
  <c r="D28" i="71" s="1"/>
  <c r="D30" i="71" s="1"/>
  <c r="G9" i="66"/>
  <c r="D22" i="70" s="1"/>
  <c r="D28" i="70" s="1"/>
  <c r="C120" i="65"/>
  <c r="C119" i="65"/>
  <c r="C124" i="65"/>
  <c r="F64" i="65"/>
  <c r="A15" i="65"/>
  <c r="D14" i="65"/>
  <c r="D11" i="65"/>
  <c r="A14" i="65"/>
  <c r="D20" i="65" s="1"/>
  <c r="O14" i="66"/>
  <c r="O13" i="66"/>
  <c r="O12" i="66"/>
  <c r="O11" i="66"/>
  <c r="C81" i="65"/>
  <c r="C50" i="65"/>
  <c r="C41" i="65"/>
  <c r="C78" i="65"/>
  <c r="C90" i="65"/>
  <c r="C95" i="65"/>
  <c r="C94" i="65"/>
  <c r="C93" i="65"/>
  <c r="C92" i="65"/>
  <c r="C91" i="65"/>
  <c r="O17" i="66" l="1"/>
  <c r="P17" i="66" s="1"/>
  <c r="C97" i="67"/>
  <c r="C82" i="71"/>
  <c r="C42" i="73"/>
  <c r="C42" i="67"/>
  <c r="C97" i="70"/>
  <c r="C97" i="71"/>
  <c r="C84" i="69"/>
  <c r="C84" i="74"/>
  <c r="C97" i="68"/>
  <c r="C97" i="74"/>
  <c r="C97" i="72"/>
  <c r="C82" i="73"/>
  <c r="C84" i="73" s="1"/>
  <c r="C84" i="71"/>
  <c r="C97" i="73"/>
  <c r="I5" i="66"/>
  <c r="I6" i="66"/>
  <c r="D115" i="67" s="1"/>
  <c r="D137" i="67" s="1"/>
  <c r="I7" i="66"/>
  <c r="D115" i="68" s="1"/>
  <c r="D137" i="68" s="1"/>
  <c r="I8" i="66"/>
  <c r="D115" i="69" s="1"/>
  <c r="D137" i="69" s="1"/>
  <c r="I9" i="66"/>
  <c r="D115" i="70" s="1"/>
  <c r="D137" i="70" s="1"/>
  <c r="I11" i="66"/>
  <c r="D115" i="71" s="1"/>
  <c r="D137" i="71" s="1"/>
  <c r="I12" i="66"/>
  <c r="D115" i="72" s="1"/>
  <c r="D137" i="72" s="1"/>
  <c r="I13" i="66"/>
  <c r="D115" i="73" s="1"/>
  <c r="D137" i="73" s="1"/>
  <c r="O15" i="66"/>
  <c r="O16" i="66"/>
  <c r="P16" i="66" s="1"/>
  <c r="D60" i="72"/>
  <c r="D29" i="72"/>
  <c r="D34" i="72" s="1"/>
  <c r="D60" i="70"/>
  <c r="D30" i="70"/>
  <c r="D65" i="70" s="1"/>
  <c r="D34" i="74"/>
  <c r="D65" i="74"/>
  <c r="D60" i="74"/>
  <c r="C43" i="74"/>
  <c r="C44" i="74" s="1"/>
  <c r="C43" i="70"/>
  <c r="C44" i="70" s="1"/>
  <c r="D34" i="73"/>
  <c r="D65" i="73"/>
  <c r="D60" i="73"/>
  <c r="C43" i="73"/>
  <c r="C44" i="73" s="1"/>
  <c r="C43" i="72"/>
  <c r="C44" i="72"/>
  <c r="D34" i="71"/>
  <c r="D65" i="71"/>
  <c r="D60" i="71"/>
  <c r="C43" i="71"/>
  <c r="C44" i="71" s="1"/>
  <c r="C79" i="70"/>
  <c r="C84" i="70" s="1"/>
  <c r="D65" i="72"/>
  <c r="C79" i="72"/>
  <c r="C84" i="72" s="1"/>
  <c r="C82" i="68"/>
  <c r="C84" i="68" s="1"/>
  <c r="C43" i="68"/>
  <c r="C44" i="68" s="1"/>
  <c r="C43" i="69"/>
  <c r="C44" i="69" s="1"/>
  <c r="D65" i="69"/>
  <c r="D34" i="69"/>
  <c r="D60" i="69"/>
  <c r="D65" i="68"/>
  <c r="C79" i="68"/>
  <c r="D34" i="68"/>
  <c r="C84" i="67"/>
  <c r="D34" i="67"/>
  <c r="D60" i="67"/>
  <c r="D65" i="67"/>
  <c r="C43" i="67"/>
  <c r="C44" i="67" s="1"/>
  <c r="D60" i="65"/>
  <c r="D65" i="65"/>
  <c r="C97" i="65"/>
  <c r="D34" i="70" l="1"/>
  <c r="D53" i="70" s="1"/>
  <c r="D54" i="74"/>
  <c r="D40" i="74"/>
  <c r="D63" i="74"/>
  <c r="D53" i="74"/>
  <c r="D62" i="74"/>
  <c r="D52" i="74"/>
  <c r="D43" i="74"/>
  <c r="D48" i="74"/>
  <c r="D133" i="74"/>
  <c r="D51" i="74"/>
  <c r="D50" i="74"/>
  <c r="D55" i="74"/>
  <c r="C101" i="74"/>
  <c r="D49" i="74"/>
  <c r="D41" i="74"/>
  <c r="D54" i="71"/>
  <c r="D40" i="71"/>
  <c r="C101" i="71"/>
  <c r="D63" i="71"/>
  <c r="D53" i="71"/>
  <c r="D49" i="71"/>
  <c r="D62" i="71"/>
  <c r="D52" i="71"/>
  <c r="D43" i="71"/>
  <c r="D133" i="71"/>
  <c r="D51" i="71"/>
  <c r="D41" i="71"/>
  <c r="D48" i="71"/>
  <c r="D50" i="71"/>
  <c r="D55" i="71"/>
  <c r="D50" i="72"/>
  <c r="C101" i="72"/>
  <c r="D49" i="72"/>
  <c r="D41" i="72"/>
  <c r="D63" i="72"/>
  <c r="D43" i="72"/>
  <c r="D55" i="72"/>
  <c r="D48" i="72"/>
  <c r="D52" i="72"/>
  <c r="D133" i="72"/>
  <c r="D54" i="72"/>
  <c r="D40" i="72"/>
  <c r="D53" i="72"/>
  <c r="D62" i="72"/>
  <c r="D51" i="72"/>
  <c r="D54" i="73"/>
  <c r="D40" i="73"/>
  <c r="D63" i="73"/>
  <c r="D53" i="73"/>
  <c r="C101" i="73"/>
  <c r="D62" i="73"/>
  <c r="D52" i="73"/>
  <c r="D43" i="73"/>
  <c r="D49" i="73"/>
  <c r="D41" i="73"/>
  <c r="D133" i="73"/>
  <c r="D51" i="73"/>
  <c r="D55" i="73"/>
  <c r="D48" i="73"/>
  <c r="D50" i="73"/>
  <c r="D54" i="69"/>
  <c r="D40" i="69"/>
  <c r="D63" i="69"/>
  <c r="D53" i="69"/>
  <c r="D62" i="69"/>
  <c r="D52" i="69"/>
  <c r="D43" i="69"/>
  <c r="D133" i="69"/>
  <c r="D51" i="69"/>
  <c r="C101" i="69"/>
  <c r="D49" i="69"/>
  <c r="D41" i="69"/>
  <c r="D55" i="69"/>
  <c r="D48" i="69"/>
  <c r="D50" i="69"/>
  <c r="D50" i="68"/>
  <c r="D43" i="68"/>
  <c r="D51" i="68"/>
  <c r="C101" i="68"/>
  <c r="D49" i="68"/>
  <c r="D41" i="68"/>
  <c r="D63" i="68"/>
  <c r="D62" i="68"/>
  <c r="D133" i="68"/>
  <c r="D55" i="68"/>
  <c r="D48" i="68"/>
  <c r="D53" i="68"/>
  <c r="D52" i="68"/>
  <c r="D54" i="68"/>
  <c r="D40" i="68"/>
  <c r="D63" i="67"/>
  <c r="D53" i="67"/>
  <c r="D62" i="67"/>
  <c r="D52" i="67"/>
  <c r="D43" i="67"/>
  <c r="D133" i="67"/>
  <c r="D51" i="67"/>
  <c r="D50" i="67"/>
  <c r="C101" i="67"/>
  <c r="D49" i="67"/>
  <c r="D41" i="67"/>
  <c r="D55" i="67"/>
  <c r="D48" i="67"/>
  <c r="D54" i="67"/>
  <c r="D40" i="67"/>
  <c r="C79" i="65"/>
  <c r="D50" i="70" l="1"/>
  <c r="D54" i="70"/>
  <c r="D51" i="70"/>
  <c r="D55" i="70"/>
  <c r="D52" i="70"/>
  <c r="C101" i="70"/>
  <c r="D63" i="70"/>
  <c r="D41" i="70"/>
  <c r="D40" i="70"/>
  <c r="D49" i="70"/>
  <c r="D43" i="70"/>
  <c r="D62" i="70"/>
  <c r="D133" i="70"/>
  <c r="D48" i="70"/>
  <c r="D42" i="67"/>
  <c r="D82" i="67" s="1"/>
  <c r="D67" i="72"/>
  <c r="D73" i="72" s="1"/>
  <c r="D67" i="68"/>
  <c r="D73" i="68" s="1"/>
  <c r="D42" i="69"/>
  <c r="D44" i="69" s="1"/>
  <c r="D71" i="69" s="1"/>
  <c r="D67" i="67"/>
  <c r="D73" i="67" s="1"/>
  <c r="D67" i="69"/>
  <c r="D73" i="69" s="1"/>
  <c r="D67" i="71"/>
  <c r="D73" i="71" s="1"/>
  <c r="D67" i="74"/>
  <c r="D73" i="74" s="1"/>
  <c r="D67" i="73"/>
  <c r="D73" i="73" s="1"/>
  <c r="D42" i="68"/>
  <c r="D44" i="68" s="1"/>
  <c r="D71" i="68" s="1"/>
  <c r="D42" i="74"/>
  <c r="D56" i="74"/>
  <c r="D72" i="74" s="1"/>
  <c r="D56" i="73"/>
  <c r="D72" i="73" s="1"/>
  <c r="D56" i="71"/>
  <c r="D72" i="71" s="1"/>
  <c r="D42" i="73"/>
  <c r="D42" i="71"/>
  <c r="D42" i="72"/>
  <c r="D56" i="72"/>
  <c r="D72" i="72" s="1"/>
  <c r="D56" i="68"/>
  <c r="D72" i="68" s="1"/>
  <c r="D56" i="69"/>
  <c r="D72" i="69" s="1"/>
  <c r="D56" i="67"/>
  <c r="D72" i="67" s="1"/>
  <c r="D23" i="65"/>
  <c r="D42" i="70" l="1"/>
  <c r="D81" i="70" s="1"/>
  <c r="D67" i="70"/>
  <c r="D73" i="70" s="1"/>
  <c r="D56" i="70"/>
  <c r="D72" i="70" s="1"/>
  <c r="D78" i="67"/>
  <c r="D83" i="67"/>
  <c r="D44" i="67"/>
  <c r="D71" i="67" s="1"/>
  <c r="D74" i="67" s="1"/>
  <c r="D134" i="67" s="1"/>
  <c r="D80" i="69"/>
  <c r="D81" i="67"/>
  <c r="D79" i="67"/>
  <c r="D80" i="67"/>
  <c r="D81" i="69"/>
  <c r="D78" i="69"/>
  <c r="D83" i="69"/>
  <c r="D82" i="69"/>
  <c r="D79" i="69"/>
  <c r="D74" i="69"/>
  <c r="D134" i="69" s="1"/>
  <c r="D74" i="68"/>
  <c r="D134" i="68" s="1"/>
  <c r="D80" i="68"/>
  <c r="D78" i="68"/>
  <c r="D81" i="68"/>
  <c r="D82" i="68"/>
  <c r="D83" i="68"/>
  <c r="D79" i="68"/>
  <c r="D44" i="74"/>
  <c r="D71" i="74" s="1"/>
  <c r="D74" i="74" s="1"/>
  <c r="D83" i="74"/>
  <c r="D79" i="74"/>
  <c r="D78" i="74"/>
  <c r="D81" i="74"/>
  <c r="D80" i="74"/>
  <c r="D82" i="74"/>
  <c r="D44" i="71"/>
  <c r="D71" i="71" s="1"/>
  <c r="D74" i="71" s="1"/>
  <c r="D78" i="71"/>
  <c r="D81" i="71"/>
  <c r="D79" i="71"/>
  <c r="D83" i="71"/>
  <c r="D82" i="71"/>
  <c r="D80" i="71"/>
  <c r="D44" i="73"/>
  <c r="D71" i="73" s="1"/>
  <c r="D74" i="73" s="1"/>
  <c r="D78" i="73"/>
  <c r="D80" i="73"/>
  <c r="D81" i="73"/>
  <c r="D82" i="73"/>
  <c r="D83" i="73"/>
  <c r="D79" i="73"/>
  <c r="D44" i="72"/>
  <c r="D71" i="72" s="1"/>
  <c r="D74" i="72" s="1"/>
  <c r="D79" i="72"/>
  <c r="D81" i="72"/>
  <c r="D82" i="72"/>
  <c r="D78" i="72"/>
  <c r="D80" i="72"/>
  <c r="D83" i="72"/>
  <c r="D61" i="65"/>
  <c r="D8" i="65"/>
  <c r="D78" i="70" l="1"/>
  <c r="D79" i="70"/>
  <c r="D80" i="70"/>
  <c r="D44" i="70"/>
  <c r="D71" i="70" s="1"/>
  <c r="D74" i="70" s="1"/>
  <c r="D134" i="70" s="1"/>
  <c r="D82" i="70"/>
  <c r="D83" i="70"/>
  <c r="D84" i="67"/>
  <c r="D135" i="67" s="1"/>
  <c r="D84" i="69"/>
  <c r="D135" i="69" s="1"/>
  <c r="D84" i="68"/>
  <c r="D84" i="74"/>
  <c r="D135" i="74" s="1"/>
  <c r="D134" i="74"/>
  <c r="D134" i="72"/>
  <c r="D84" i="72"/>
  <c r="D135" i="72" s="1"/>
  <c r="D84" i="71"/>
  <c r="D135" i="71" s="1"/>
  <c r="D134" i="73"/>
  <c r="D84" i="73"/>
  <c r="D135" i="73" s="1"/>
  <c r="D134" i="71"/>
  <c r="D146" i="65"/>
  <c r="C125" i="65"/>
  <c r="C129" i="65" s="1"/>
  <c r="D102" i="65"/>
  <c r="D107" i="65" s="1"/>
  <c r="C56" i="65"/>
  <c r="C82" i="65" s="1"/>
  <c r="C40" i="65"/>
  <c r="C42" i="65" s="1"/>
  <c r="D34" i="65"/>
  <c r="D84" i="70" l="1"/>
  <c r="D135" i="70" s="1"/>
  <c r="D91" i="67"/>
  <c r="D94" i="67"/>
  <c r="D90" i="67"/>
  <c r="D92" i="67"/>
  <c r="D96" i="67"/>
  <c r="D95" i="67"/>
  <c r="D95" i="69"/>
  <c r="D93" i="67"/>
  <c r="D92" i="69"/>
  <c r="D93" i="69"/>
  <c r="D91" i="69"/>
  <c r="D90" i="69"/>
  <c r="D96" i="69"/>
  <c r="D94" i="69"/>
  <c r="D96" i="74"/>
  <c r="D93" i="74"/>
  <c r="D90" i="74"/>
  <c r="D92" i="74"/>
  <c r="D91" i="74"/>
  <c r="D93" i="73"/>
  <c r="D92" i="73"/>
  <c r="D90" i="72"/>
  <c r="D92" i="72"/>
  <c r="D94" i="72"/>
  <c r="D96" i="72"/>
  <c r="D91" i="71"/>
  <c r="D90" i="71"/>
  <c r="D96" i="71"/>
  <c r="D93" i="71"/>
  <c r="D92" i="71"/>
  <c r="D95" i="71"/>
  <c r="D94" i="71"/>
  <c r="D135" i="68"/>
  <c r="D93" i="68"/>
  <c r="D91" i="68"/>
  <c r="D94" i="68"/>
  <c r="D96" i="68"/>
  <c r="D92" i="68"/>
  <c r="D90" i="68"/>
  <c r="D95" i="68"/>
  <c r="D94" i="74"/>
  <c r="D95" i="74"/>
  <c r="D91" i="73"/>
  <c r="D95" i="73"/>
  <c r="D95" i="72"/>
  <c r="D94" i="73"/>
  <c r="D93" i="72"/>
  <c r="D96" i="73"/>
  <c r="D90" i="73"/>
  <c r="D91" i="72"/>
  <c r="D63" i="65"/>
  <c r="D62" i="65"/>
  <c r="C101" i="65"/>
  <c r="C84" i="65"/>
  <c r="D49" i="65"/>
  <c r="C43" i="65"/>
  <c r="C44" i="65" s="1"/>
  <c r="D41" i="65"/>
  <c r="D48" i="65"/>
  <c r="D51" i="65"/>
  <c r="D55" i="65"/>
  <c r="D52" i="65"/>
  <c r="D133" i="65"/>
  <c r="D40" i="65"/>
  <c r="D53" i="65"/>
  <c r="D50" i="65"/>
  <c r="D54" i="65"/>
  <c r="D92" i="70" l="1"/>
  <c r="D96" i="70"/>
  <c r="D93" i="70"/>
  <c r="D90" i="70"/>
  <c r="D91" i="70"/>
  <c r="D94" i="70"/>
  <c r="D95" i="70"/>
  <c r="D97" i="67"/>
  <c r="D106" i="67" s="1"/>
  <c r="D108" i="67" s="1"/>
  <c r="D136" i="67" s="1"/>
  <c r="D138" i="67" s="1"/>
  <c r="D97" i="69"/>
  <c r="D106" i="69" s="1"/>
  <c r="D108" i="69" s="1"/>
  <c r="D136" i="69" s="1"/>
  <c r="D138" i="69" s="1"/>
  <c r="D97" i="71"/>
  <c r="D106" i="71" s="1"/>
  <c r="D108" i="71" s="1"/>
  <c r="D136" i="71" s="1"/>
  <c r="D138" i="71" s="1"/>
  <c r="D97" i="74"/>
  <c r="D106" i="74" s="1"/>
  <c r="D108" i="74" s="1"/>
  <c r="D136" i="74" s="1"/>
  <c r="D138" i="74" s="1"/>
  <c r="D97" i="72"/>
  <c r="D106" i="72" s="1"/>
  <c r="D108" i="72" s="1"/>
  <c r="D136" i="72" s="1"/>
  <c r="D138" i="72" s="1"/>
  <c r="D97" i="68"/>
  <c r="D106" i="68" s="1"/>
  <c r="D108" i="68" s="1"/>
  <c r="D136" i="68" s="1"/>
  <c r="D138" i="68" s="1"/>
  <c r="D97" i="73"/>
  <c r="D106" i="73" s="1"/>
  <c r="D108" i="73" s="1"/>
  <c r="D136" i="73" s="1"/>
  <c r="D138" i="73" s="1"/>
  <c r="D67" i="65"/>
  <c r="D73" i="65" s="1"/>
  <c r="D115" i="65"/>
  <c r="D137" i="65" s="1"/>
  <c r="D42" i="65"/>
  <c r="D56" i="65"/>
  <c r="D43" i="65"/>
  <c r="D119" i="67" l="1"/>
  <c r="D120" i="67" s="1"/>
  <c r="D119" i="68"/>
  <c r="D120" i="68" s="1"/>
  <c r="D119" i="72"/>
  <c r="D120" i="72" s="1"/>
  <c r="D119" i="74"/>
  <c r="D119" i="71"/>
  <c r="D120" i="71" s="1"/>
  <c r="D119" i="69"/>
  <c r="D97" i="70"/>
  <c r="D106" i="70" s="1"/>
  <c r="D108" i="70" s="1"/>
  <c r="D136" i="70" s="1"/>
  <c r="D138" i="70" s="1"/>
  <c r="D119" i="73"/>
  <c r="D120" i="73" s="1"/>
  <c r="D80" i="65"/>
  <c r="D83" i="65"/>
  <c r="D82" i="65"/>
  <c r="D81" i="65"/>
  <c r="D79" i="65"/>
  <c r="D78" i="65"/>
  <c r="D44" i="65"/>
  <c r="D71" i="65" s="1"/>
  <c r="D72" i="65"/>
  <c r="D124" i="73" l="1"/>
  <c r="D123" i="71"/>
  <c r="D124" i="71"/>
  <c r="D124" i="72"/>
  <c r="D123" i="68"/>
  <c r="D124" i="68"/>
  <c r="D123" i="67"/>
  <c r="D124" i="67"/>
  <c r="D120" i="69"/>
  <c r="D124" i="69" s="1"/>
  <c r="D122" i="72"/>
  <c r="D123" i="72"/>
  <c r="D123" i="73"/>
  <c r="D122" i="68"/>
  <c r="D119" i="70"/>
  <c r="D120" i="70" s="1"/>
  <c r="D122" i="71"/>
  <c r="D122" i="73"/>
  <c r="D120" i="74"/>
  <c r="D124" i="74" s="1"/>
  <c r="D122" i="67"/>
  <c r="D84" i="65"/>
  <c r="D135" i="65" s="1"/>
  <c r="D74" i="65"/>
  <c r="D122" i="69" l="1"/>
  <c r="D125" i="73"/>
  <c r="D126" i="73" s="1"/>
  <c r="D139" i="73" s="1"/>
  <c r="D140" i="73" s="1"/>
  <c r="D145" i="73" s="1"/>
  <c r="D125" i="68"/>
  <c r="D126" i="68" s="1"/>
  <c r="D139" i="68" s="1"/>
  <c r="D140" i="68" s="1"/>
  <c r="D145" i="68" s="1"/>
  <c r="D123" i="69"/>
  <c r="D125" i="71"/>
  <c r="D125" i="67"/>
  <c r="D126" i="67" s="1"/>
  <c r="D125" i="72"/>
  <c r="D123" i="70"/>
  <c r="D122" i="70"/>
  <c r="D124" i="70"/>
  <c r="D123" i="74"/>
  <c r="D122" i="74"/>
  <c r="D93" i="65"/>
  <c r="D92" i="65"/>
  <c r="D90" i="65"/>
  <c r="D96" i="65"/>
  <c r="D91" i="65"/>
  <c r="D95" i="65"/>
  <c r="D94" i="65"/>
  <c r="D134" i="65"/>
  <c r="D125" i="69" l="1"/>
  <c r="D126" i="69" s="1"/>
  <c r="D139" i="69" s="1"/>
  <c r="D125" i="74"/>
  <c r="D126" i="74" s="1"/>
  <c r="D139" i="74" s="1"/>
  <c r="D140" i="74" s="1"/>
  <c r="D145" i="74" s="1"/>
  <c r="D147" i="74" s="1"/>
  <c r="D148" i="74" s="1"/>
  <c r="D139" i="67"/>
  <c r="D126" i="72"/>
  <c r="D126" i="71"/>
  <c r="D125" i="70"/>
  <c r="D147" i="73"/>
  <c r="D148" i="73" s="1"/>
  <c r="K13" i="66"/>
  <c r="L13" i="66" s="1"/>
  <c r="D147" i="68"/>
  <c r="D148" i="68" s="1"/>
  <c r="K7" i="66"/>
  <c r="L7" i="66" s="1"/>
  <c r="M7" i="66" s="1"/>
  <c r="D97" i="65"/>
  <c r="D106" i="65" s="1"/>
  <c r="D108" i="65" s="1"/>
  <c r="D136" i="65" s="1"/>
  <c r="D138" i="65" s="1"/>
  <c r="D140" i="67" l="1"/>
  <c r="D145" i="67" s="1"/>
  <c r="D140" i="69"/>
  <c r="D145" i="69" s="1"/>
  <c r="D139" i="72"/>
  <c r="D139" i="71"/>
  <c r="D126" i="70"/>
  <c r="K14" i="66"/>
  <c r="L14" i="66" s="1"/>
  <c r="D119" i="65"/>
  <c r="D120" i="65" s="1"/>
  <c r="K8" i="66" l="1"/>
  <c r="L8" i="66" s="1"/>
  <c r="M8" i="66" s="1"/>
  <c r="D147" i="69"/>
  <c r="D148" i="69" s="1"/>
  <c r="K6" i="66"/>
  <c r="L6" i="66" s="1"/>
  <c r="M6" i="66" s="1"/>
  <c r="D147" i="67"/>
  <c r="D148" i="67" s="1"/>
  <c r="D140" i="71"/>
  <c r="D145" i="71" s="1"/>
  <c r="D140" i="72"/>
  <c r="D145" i="72" s="1"/>
  <c r="D139" i="70"/>
  <c r="D124" i="65"/>
  <c r="D123" i="65"/>
  <c r="D122" i="65"/>
  <c r="K12" i="66" l="1"/>
  <c r="L12" i="66" s="1"/>
  <c r="D147" i="72"/>
  <c r="D148" i="72" s="1"/>
  <c r="K11" i="66"/>
  <c r="L11" i="66" s="1"/>
  <c r="D147" i="71"/>
  <c r="D148" i="71" s="1"/>
  <c r="D125" i="65"/>
  <c r="D126" i="65" s="1"/>
  <c r="D139" i="65" s="1"/>
  <c r="D140" i="65" s="1"/>
  <c r="D140" i="70"/>
  <c r="D145" i="70" s="1"/>
  <c r="K9" i="66" l="1"/>
  <c r="L9" i="66" s="1"/>
  <c r="M9" i="66" s="1"/>
  <c r="D147" i="70"/>
  <c r="D148" i="70" s="1"/>
  <c r="D145" i="65"/>
  <c r="M14" i="66" l="1"/>
  <c r="Q14" i="66" s="1"/>
  <c r="M11" i="66"/>
  <c r="K5" i="66"/>
  <c r="L5" i="66" s="1"/>
  <c r="M5" i="66" s="1"/>
  <c r="D147" i="65"/>
  <c r="D148" i="65" s="1"/>
  <c r="M18" i="66" l="1"/>
  <c r="L18" i="66" s="1"/>
  <c r="M13" i="66"/>
  <c r="Q13" i="66" s="1"/>
  <c r="M12" i="66"/>
  <c r="Q12" i="66" s="1"/>
  <c r="Q8" i="66"/>
  <c r="Q7" i="66"/>
  <c r="Q6" i="66"/>
  <c r="Q9" i="66"/>
  <c r="Q11" i="66"/>
  <c r="Q5" i="66"/>
  <c r="M15" i="66" l="1"/>
  <c r="M19" i="66"/>
  <c r="L19" i="66" s="1"/>
  <c r="C16" i="66" a="1"/>
  <c r="C16" i="66" l="1"/>
  <c r="Q15" i="66"/>
  <c r="M22" i="6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<sst xmlns="http://schemas.openxmlformats.org/spreadsheetml/2006/main" count="2056" uniqueCount="166">
  <si>
    <t>Discriminação dos Serviços (dados referentes à contratação)</t>
  </si>
  <si>
    <t>A</t>
  </si>
  <si>
    <t>Data da apresentação da proposta (dia/mês/ano)</t>
  </si>
  <si>
    <t>B</t>
  </si>
  <si>
    <t>C</t>
  </si>
  <si>
    <t>Ano Acordo, Convenção ou Sentença Normativa em Dissídio Coletivo</t>
  </si>
  <si>
    <t>D</t>
  </si>
  <si>
    <t>Nº de meses de execução contratual</t>
  </si>
  <si>
    <t>Dados complementares para composição dos custos referente à mão-de-obra</t>
  </si>
  <si>
    <t xml:space="preserve">Tipo de serviço (mesmo serviço com características distintas) </t>
  </si>
  <si>
    <t>Categoria Profissional (vinculada à execução contratual)</t>
  </si>
  <si>
    <t>Data base da categoria (dia / mês / ano)</t>
  </si>
  <si>
    <t>Módulo 1: COMPOSIÇÃO DA REMUNERAÇÃO</t>
  </si>
  <si>
    <t>Composição da Remuneração</t>
  </si>
  <si>
    <t>Valor (R$)</t>
  </si>
  <si>
    <t xml:space="preserve">Salário Base </t>
  </si>
  <si>
    <t xml:space="preserve">Adicional noturno </t>
  </si>
  <si>
    <t>E</t>
  </si>
  <si>
    <t>F</t>
  </si>
  <si>
    <t>G</t>
  </si>
  <si>
    <t>H</t>
  </si>
  <si>
    <t>Total da Remuneração</t>
  </si>
  <si>
    <t>Benefícios Mensais e Diários</t>
  </si>
  <si>
    <t>Total dos Benefícios Mensais e Diários</t>
  </si>
  <si>
    <t>Total de Insumos diversos</t>
  </si>
  <si>
    <t>4.1</t>
  </si>
  <si>
    <t>4.2</t>
  </si>
  <si>
    <t>TOTAL</t>
  </si>
  <si>
    <t>Provisão para Rescisão</t>
  </si>
  <si>
    <t>Custos Indiretos, Tributos e Lucro</t>
  </si>
  <si>
    <t>Custos Indiretos</t>
  </si>
  <si>
    <t>Módulo 1 - Composição da Remuneração</t>
  </si>
  <si>
    <t>13º (décimo terceiro) Salário</t>
  </si>
  <si>
    <t>Ausência por acidente de trabalho</t>
  </si>
  <si>
    <t>Valor mensal do serviço</t>
  </si>
  <si>
    <t>TIPO DE SERVIÇO</t>
  </si>
  <si>
    <t>Classificação Brasileira de Ocupações (CBO)</t>
  </si>
  <si>
    <t>Adicional de hora noturna reduzida</t>
  </si>
  <si>
    <t>Módulo 2: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</si>
  <si>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</si>
  <si>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</si>
  <si>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</si>
  <si>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Férias e Adicional de Férias</t>
  </si>
  <si>
    <t xml:space="preserve">TOTAL 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</si>
  <si>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</si>
  <si>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</si>
  <si>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</si>
  <si>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</si>
  <si>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</si>
  <si>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</si>
  <si>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</si>
  <si>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</si>
  <si>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</si>
  <si>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SEBRAE</t>
  </si>
  <si>
    <t>INCRA</t>
  </si>
  <si>
    <t>FGTS</t>
  </si>
  <si>
    <t>Submódulo 2.3 - Benefícios Mensais e Diários.</t>
  </si>
  <si>
    <t>2.3</t>
  </si>
  <si>
    <t xml:space="preserve">E </t>
  </si>
  <si>
    <t>Quadro-Resumo do Módulo 2 - Encargos e Benefícios anuais, mensais e diários</t>
  </si>
  <si>
    <t>Encargos e Benefícios Anuais, Mensais e Diários</t>
  </si>
  <si>
    <t>Módulo 3 - Provisão para Rescisão</t>
  </si>
  <si>
    <t>Aviso Prévio Indenizado</t>
  </si>
  <si>
    <t>Incidência do FGTS sobre o Aviso Prévio Indenizado</t>
  </si>
  <si>
    <t>Incidência dos encargos do submódulo 2.2 sobre o Aviso Prévio Trabalhado</t>
  </si>
  <si>
    <t>Módulo 4 - Custo de Reposição do Profissional Ausente</t>
  </si>
  <si>
    <t>Submódulo 4.1 - Ausências Legais</t>
  </si>
  <si>
    <t>Ausências Legais</t>
  </si>
  <si>
    <t>Férias</t>
  </si>
  <si>
    <t>Submódulo 4.2 - Intrajornada</t>
  </si>
  <si>
    <t>Intrajornada</t>
  </si>
  <si>
    <t>Intervalo para repouso ou alimentação</t>
  </si>
  <si>
    <t>Quadro-Resumo do Módulo 4 - Custo de Reposição do Profissional Ausente</t>
  </si>
  <si>
    <t>Custo de Reposição do Profissional Ausente</t>
  </si>
  <si>
    <t>Módulo 5 - INSUMOS DIVERSOS</t>
  </si>
  <si>
    <t>Lucro</t>
  </si>
  <si>
    <t>Tributos</t>
  </si>
  <si>
    <t>QUADRO-RESUMO DO CUSTO POR EMPREGADO</t>
  </si>
  <si>
    <t>Mão de obra vinculada à execução contratual (valor por empregado)</t>
  </si>
  <si>
    <t>Módulo 2 - Encargos e Benefícios Anuais, Mensais e Diários</t>
  </si>
  <si>
    <t>Módulo 5 - Insumos Diversos</t>
  </si>
  <si>
    <t>Subtotal (A + B +C+ D+E)</t>
  </si>
  <si>
    <t>Módulo 6 – Custos Indiretos, Tributos e Lucro</t>
  </si>
  <si>
    <t>QUADRO DEMONSTRATIVO DO VALOR GLOBAL DA PROPOSTA</t>
  </si>
  <si>
    <t>VALOR GLOBAL DA PROPOSTA</t>
  </si>
  <si>
    <t>DESCRIÇÃO</t>
  </si>
  <si>
    <t>VALOR (R$)</t>
  </si>
  <si>
    <t>Valor proposto por unidade de medida *</t>
  </si>
  <si>
    <t>Valor global da proposta (Valor mensal do serviço multiplicado pelo número de meses do contrato).</t>
  </si>
  <si>
    <t>MÓDULO 6 - CUSTOS INDIRETOS, TRIBUTOS E LUCRO</t>
  </si>
  <si>
    <t>TOTAL DE TRIBUTOS</t>
  </si>
  <si>
    <t>TOTAL DOS CUSTOS INDIRETOS, TRIBUTOS E LUCRO</t>
  </si>
  <si>
    <t>VALOR TOTAL POR EMPREGADO</t>
  </si>
  <si>
    <t xml:space="preserve">Salário Normativo da Categoria Profissional </t>
  </si>
  <si>
    <t>Outros (especificar)</t>
  </si>
  <si>
    <t>Auxílio Doença</t>
  </si>
  <si>
    <t>C.3. Tributos Municipais (ISS)</t>
  </si>
  <si>
    <t>C.1. Tributos Federais (COFINS)</t>
  </si>
  <si>
    <t>C.1. Tributos Federais (PIS)</t>
  </si>
  <si>
    <t>Uniformes e EPI's</t>
  </si>
  <si>
    <t>UNIDADE DE MEDIDA</t>
  </si>
  <si>
    <t>IDENTIFICAÇÃO DO SERVIÇO</t>
  </si>
  <si>
    <t>Nota (1): Custos Indiretos, Tributos e Lucro por empregado.</t>
  </si>
  <si>
    <t>Nota (2): O valor referente a tributos é obtido aplicando-se o percentual sobre o valor do faturamento</t>
  </si>
  <si>
    <t>Coeficiente: (1-% tributos):</t>
  </si>
  <si>
    <t>Posto de Serviço</t>
  </si>
  <si>
    <t>PLANILHA DE CUSTOS E FORMAÇÃO DE PREÇOS</t>
  </si>
  <si>
    <t>Subtotal</t>
  </si>
  <si>
    <t>Incidência do submódulo 2.2 sobre o submódulo 2.1</t>
  </si>
  <si>
    <t>Quantidade de Postos</t>
  </si>
  <si>
    <t>Aviso Prévio Trabalhado</t>
  </si>
  <si>
    <t>Adicional de insalubridade</t>
  </si>
  <si>
    <t>Adicional de periculosidade</t>
  </si>
  <si>
    <t>QTDE</t>
  </si>
  <si>
    <t>Município</t>
  </si>
  <si>
    <t>Transporte</t>
  </si>
  <si>
    <t>13º Salário, Férias e Adicional de Férias</t>
  </si>
  <si>
    <t>Insumos Diversos</t>
  </si>
  <si>
    <t>Data:</t>
  </si>
  <si>
    <t>Hora:</t>
  </si>
  <si>
    <t>Qtde Dias</t>
  </si>
  <si>
    <t>V.T. (R$)</t>
  </si>
  <si>
    <t>V.A. (R$)</t>
  </si>
  <si>
    <t>% PAT</t>
  </si>
  <si>
    <t>Item</t>
  </si>
  <si>
    <t>Multa do FGTS sobre o Aviso Prévio Indenizado</t>
  </si>
  <si>
    <t>Multa do FGTS sobre o Aviso Prévio Trabalhado</t>
  </si>
  <si>
    <t>Licença Paternidade</t>
  </si>
  <si>
    <t>Licença Maternidade</t>
  </si>
  <si>
    <t>Alimentação</t>
  </si>
  <si>
    <t>LICITAÇÃO Nº: 197/2024</t>
  </si>
  <si>
    <t>São Pedro de Alcântara/SC</t>
  </si>
  <si>
    <t>SC000143/2024</t>
  </si>
  <si>
    <t>Assiduidade</t>
  </si>
  <si>
    <t>Seguro de Vida</t>
  </si>
  <si>
    <t>Benefício de Assistência ao Trabalhador</t>
  </si>
  <si>
    <t>Contribuição Assistencial Patronal</t>
  </si>
  <si>
    <t>Planilha</t>
  </si>
  <si>
    <t>Cargo</t>
  </si>
  <si>
    <t>Qtd</t>
  </si>
  <si>
    <t>Carga Horária Semanal</t>
  </si>
  <si>
    <t>Meses</t>
  </si>
  <si>
    <t>Valor Unitário</t>
  </si>
  <si>
    <t>Valor Mensal</t>
  </si>
  <si>
    <t>EDUCAÇÃO</t>
  </si>
  <si>
    <t>Monitor de transporte escolar</t>
  </si>
  <si>
    <t>Merendeira</t>
  </si>
  <si>
    <t>Auxiliar de Serviços Gerais</t>
  </si>
  <si>
    <t>ADMINISTRAÇÃO</t>
  </si>
  <si>
    <t>Trabalhador Braçal</t>
  </si>
  <si>
    <t>Zelador</t>
  </si>
  <si>
    <t>Recepcionista</t>
  </si>
  <si>
    <t>10 horas</t>
  </si>
  <si>
    <t>30 horas</t>
  </si>
  <si>
    <t>40 horas</t>
  </si>
  <si>
    <t>Valor Anual
(Global conforme meses)</t>
  </si>
  <si>
    <t>VALOR TOTAL GLOBAL DA CONTRATAÇÃO:</t>
  </si>
  <si>
    <t>Salário</t>
  </si>
  <si>
    <t>VA</t>
  </si>
  <si>
    <t>ISS</t>
  </si>
  <si>
    <t>Equipamentos</t>
  </si>
  <si>
    <t>MÁXIMO EDITAL</t>
  </si>
  <si>
    <t>Custo Indireto</t>
  </si>
  <si>
    <t>Adm</t>
  </si>
  <si>
    <t>Educação</t>
  </si>
  <si>
    <t>Equipamentos (rateio global)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</si>
</sst>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00"/>
    <numFmt numFmtId="167" formatCode="_-* #,##0.0000_-;\-* #,##0.0000_-;_-* &quot;-&quot;????_-;_-@_-"/>
    <numFmt numFmtId="168" formatCode="#,##0.00&quot; &quot;;#,##0.00&quot; &quot;;&quot;-&quot;#&quot; &quot;;&quot; &quot;@&quot; &quot;"/>
    <numFmt numFmtId="169" formatCode="0.000%"/>
    <numFmt numFmtId="170" formatCode="0.0000%"/>
    <numFmt numFmtId="171" formatCode="0.000000%"/>
    <numFmt numFmtId="172" formatCode="_-&quot;R$&quot;\ * #,##0.0000_-;\-&quot;R$&quot;\ * #,##0.00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68" fontId="10" fillId="0" borderId="0"/>
    <xf numFmtId="4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9">
    <xf numFmtId="0" fontId="0" fillId="0" borderId="0" xfId="0"/>
    <xf numFmtId="44" fontId="11" fillId="2" borderId="1" xfId="0" applyNumberFormat="1" applyFont="1" applyFill="1" applyBorder="1" applyAlignment="1">
      <alignment horizontal="justify" vertical="center" wrapText="1"/>
    </xf>
    <xf numFmtId="0" fontId="1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44" fontId="7" fillId="2" borderId="1" xfId="2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7" fillId="2" borderId="0" xfId="0" applyNumberFormat="1" applyFont="1" applyFill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7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justify" vertical="center" wrapText="1"/>
    </xf>
    <xf numFmtId="10" fontId="12" fillId="2" borderId="1" xfId="0" applyNumberFormat="1" applyFont="1" applyFill="1" applyBorder="1" applyAlignment="1">
      <alignment horizontal="center" vertical="center"/>
    </xf>
    <xf numFmtId="164" fontId="7" fillId="2" borderId="1" xfId="7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justify" vertical="center" wrapText="1"/>
    </xf>
    <xf numFmtId="10" fontId="11" fillId="2" borderId="1" xfId="0" applyNumberFormat="1" applyFont="1" applyFill="1" applyBorder="1" applyAlignment="1">
      <alignment horizontal="center" vertical="center"/>
    </xf>
    <xf numFmtId="43" fontId="12" fillId="2" borderId="0" xfId="0" applyNumberFormat="1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44" fontId="8" fillId="2" borderId="1" xfId="2" applyFont="1" applyFill="1" applyBorder="1" applyAlignment="1" applyProtection="1">
      <alignment horizontal="center" vertical="center" wrapText="1"/>
      <protection locked="0"/>
    </xf>
    <xf numFmtId="10" fontId="7" fillId="2" borderId="1" xfId="11" applyNumberFormat="1" applyFont="1" applyFill="1" applyBorder="1" applyAlignment="1" applyProtection="1">
      <alignment horizontal="center" vertical="center"/>
      <protection locked="0"/>
    </xf>
    <xf numFmtId="10" fontId="8" fillId="2" borderId="1" xfId="11" applyNumberFormat="1" applyFont="1" applyFill="1" applyBorder="1" applyAlignment="1" applyProtection="1">
      <alignment horizontal="center" vertical="center"/>
      <protection locked="0"/>
    </xf>
    <xf numFmtId="166" fontId="12" fillId="2" borderId="0" xfId="0" applyNumberFormat="1" applyFont="1" applyFill="1" applyAlignment="1">
      <alignment vertical="center"/>
    </xf>
    <xf numFmtId="167" fontId="12" fillId="2" borderId="0" xfId="0" applyNumberFormat="1" applyFont="1" applyFill="1" applyAlignment="1">
      <alignment vertical="center"/>
    </xf>
    <xf numFmtId="10" fontId="12" fillId="2" borderId="0" xfId="11" applyNumberFormat="1" applyFont="1" applyFill="1" applyAlignment="1">
      <alignment vertical="center"/>
    </xf>
    <xf numFmtId="10" fontId="12" fillId="2" borderId="0" xfId="0" applyNumberFormat="1" applyFont="1" applyFill="1" applyAlignment="1">
      <alignment vertical="center"/>
    </xf>
    <xf numFmtId="44" fontId="12" fillId="2" borderId="0" xfId="2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6" fontId="8" fillId="2" borderId="0" xfId="0" applyNumberFormat="1" applyFont="1" applyFill="1" applyAlignment="1">
      <alignment horizontal="center" vertical="center"/>
    </xf>
    <xf numFmtId="164" fontId="12" fillId="2" borderId="1" xfId="0" applyNumberFormat="1" applyFont="1" applyFill="1" applyBorder="1" applyAlignment="1">
      <alignment horizontal="justify" vertical="center" wrapText="1"/>
    </xf>
    <xf numFmtId="164" fontId="12" fillId="2" borderId="1" xfId="2" applyNumberFormat="1" applyFont="1" applyFill="1" applyBorder="1" applyAlignment="1">
      <alignment horizontal="justify" vertical="center" wrapText="1"/>
    </xf>
    <xf numFmtId="44" fontId="12" fillId="2" borderId="1" xfId="0" applyNumberFormat="1" applyFont="1" applyFill="1" applyBorder="1" applyAlignment="1">
      <alignment horizontal="justify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9" fontId="12" fillId="2" borderId="0" xfId="11" applyNumberFormat="1" applyFont="1" applyFill="1" applyAlignment="1">
      <alignment vertical="center"/>
    </xf>
    <xf numFmtId="170" fontId="12" fillId="2" borderId="0" xfId="11" applyNumberFormat="1" applyFont="1" applyFill="1" applyAlignment="1">
      <alignment vertical="center"/>
    </xf>
    <xf numFmtId="10" fontId="12" fillId="3" borderId="1" xfId="1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12" fillId="2" borderId="0" xfId="0" applyNumberFormat="1" applyFont="1" applyFill="1" applyAlignment="1">
      <alignment vertical="center"/>
    </xf>
    <xf numFmtId="10" fontId="11" fillId="2" borderId="0" xfId="0" applyNumberFormat="1" applyFont="1" applyFill="1" applyAlignment="1">
      <alignment vertical="center"/>
    </xf>
    <xf numFmtId="0" fontId="6" fillId="2" borderId="3" xfId="0" applyFont="1" applyFill="1" applyBorder="1" applyAlignment="1">
      <alignment horizontal="right" vertical="center" wrapText="1"/>
    </xf>
    <xf numFmtId="170" fontId="11" fillId="3" borderId="1" xfId="11" applyNumberFormat="1" applyFont="1" applyFill="1" applyBorder="1" applyAlignment="1">
      <alignment horizontal="center" vertical="center"/>
    </xf>
    <xf numFmtId="44" fontId="12" fillId="3" borderId="1" xfId="2" applyFont="1" applyFill="1" applyBorder="1" applyAlignment="1">
      <alignment horizontal="center" vertical="center"/>
    </xf>
    <xf numFmtId="2" fontId="12" fillId="3" borderId="1" xfId="11" applyNumberFormat="1" applyFont="1" applyFill="1" applyBorder="1" applyAlignment="1">
      <alignment horizontal="center" vertical="center"/>
    </xf>
    <xf numFmtId="1" fontId="12" fillId="3" borderId="1" xfId="11" applyNumberFormat="1" applyFont="1" applyFill="1" applyBorder="1" applyAlignment="1">
      <alignment horizontal="center" vertical="center"/>
    </xf>
    <xf numFmtId="20" fontId="7" fillId="2" borderId="0" xfId="0" applyNumberFormat="1" applyFont="1" applyFill="1" applyAlignment="1">
      <alignment vertical="center" wrapText="1"/>
    </xf>
    <xf numFmtId="170" fontId="7" fillId="2" borderId="1" xfId="11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justify" vertical="center" wrapText="1"/>
    </xf>
    <xf numFmtId="171" fontId="1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44" fontId="4" fillId="2" borderId="1" xfId="2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3" borderId="1" xfId="2" applyFont="1" applyFill="1" applyBorder="1" applyAlignment="1">
      <alignment horizontal="center" vertical="center"/>
    </xf>
    <xf numFmtId="170" fontId="4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/>
    </xf>
    <xf numFmtId="170" fontId="6" fillId="3" borderId="1" xfId="0" applyNumberFormat="1" applyFont="1" applyFill="1" applyBorder="1" applyAlignment="1">
      <alignment horizontal="center" vertical="center"/>
    </xf>
    <xf numFmtId="171" fontId="6" fillId="3" borderId="1" xfId="11" applyNumberFormat="1" applyFont="1" applyFill="1" applyBorder="1" applyAlignment="1">
      <alignment horizontal="center" vertical="center"/>
    </xf>
    <xf numFmtId="10" fontId="4" fillId="3" borderId="1" xfId="11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0" xfId="0" applyNumberFormat="1" applyFont="1" applyFill="1" applyAlignment="1">
      <alignment horizontal="center" vertical="center"/>
    </xf>
    <xf numFmtId="44" fontId="6" fillId="2" borderId="0" xfId="2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72" fontId="4" fillId="2" borderId="1" xfId="2" applyNumberFormat="1" applyFont="1" applyFill="1" applyBorder="1" applyAlignment="1">
      <alignment horizontal="center" vertical="center"/>
    </xf>
    <xf numFmtId="172" fontId="12" fillId="2" borderId="1" xfId="0" applyNumberFormat="1" applyFont="1" applyFill="1" applyBorder="1" applyAlignment="1">
      <alignment horizontal="justify" vertical="center" wrapText="1"/>
    </xf>
    <xf numFmtId="44" fontId="6" fillId="4" borderId="1" xfId="2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20" fontId="6" fillId="2" borderId="4" xfId="0" applyNumberFormat="1" applyFont="1" applyFill="1" applyBorder="1" applyAlignment="1">
      <alignment horizontal="left" vertical="center" wrapText="1"/>
    </xf>
  </cellXfs>
  <cellStyles count="21">
    <cellStyle name="Excel Built-in Currency" xfId="1"/>
    <cellStyle name="Moeda" xfId="2" builtinId="4"/>
    <cellStyle name="Moeda 2" xfId="3"/>
    <cellStyle name="Moeda 2 2" xfId="4"/>
    <cellStyle name="Moeda 3" xfId="5"/>
    <cellStyle name="Moeda 4" xfId="6"/>
    <cellStyle name="Moeda 5" xfId="7"/>
    <cellStyle name="Normal" xfId="0" builtinId="0"/>
    <cellStyle name="Normal 2" xfId="8"/>
    <cellStyle name="Normal 3" xfId="9"/>
    <cellStyle name="Normal 4" xfId="10"/>
    <cellStyle name="Porcentagem" xfId="11" builtinId="5"/>
    <cellStyle name="Porcentagem 2" xfId="12"/>
    <cellStyle name="Porcentagem 2 2" xfId="13"/>
    <cellStyle name="Porcentagem 3" xfId="14"/>
    <cellStyle name="Porcentagem 3 2" xfId="15"/>
    <cellStyle name="Separador de milhares 2" xfId="16"/>
    <cellStyle name="Separador de milhares 2 2" xfId="17"/>
    <cellStyle name="Separador de milhares 3" xfId="18"/>
    <cellStyle name="Separador de milhares 3 2" xfId="19"/>
    <cellStyle name="Vírgula 2" xfId="2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e.mazon/AppData/Roaming/Microsoft/AddIns/vextenso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vextenso"/>
    </sheetNames>
    <definedNames>
      <definedName name="VEXTENSO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2"/>
  <sheetViews>
    <sheetView topLeftCell="B1" workbookViewId="0">
      <selection activeCell="M15" sqref="M15"/>
    </sheetView>
  </sheetViews>
  <sheetFormatPr defaultRowHeight="12.75" x14ac:dyDescent="0.25"/>
  <cols>
    <col min="1" max="1" width="4.7109375" style="62" customWidth="1"/>
    <col min="2" max="2" width="9.140625" style="62"/>
    <col min="3" max="3" width="33.140625" style="62" customWidth="1"/>
    <col min="4" max="4" width="4.140625" style="62" bestFit="1" customWidth="1"/>
    <col min="5" max="5" width="9.140625" style="62"/>
    <col min="6" max="6" width="6.5703125" style="62" bestFit="1" customWidth="1"/>
    <col min="7" max="7" width="12.42578125" style="62" hidden="1" customWidth="1"/>
    <col min="8" max="8" width="9.85546875" style="62" hidden="1" customWidth="1"/>
    <col min="9" max="9" width="14" style="62" hidden="1" customWidth="1"/>
    <col min="10" max="10" width="6.7109375" style="62" hidden="1" customWidth="1"/>
    <col min="11" max="11" width="14.7109375" style="62" customWidth="1"/>
    <col min="12" max="12" width="17.140625" style="62" customWidth="1"/>
    <col min="13" max="13" width="20.42578125" style="62" customWidth="1"/>
    <col min="14" max="14" width="4.7109375" style="62" hidden="1" customWidth="1"/>
    <col min="15" max="15" width="17.140625" style="62" hidden="1" customWidth="1"/>
    <col min="16" max="16" width="14.85546875" style="62" hidden="1" customWidth="1"/>
    <col min="17" max="17" width="10.140625" style="62" hidden="1" customWidth="1"/>
    <col min="18" max="18" width="4.7109375" style="62" hidden="1" customWidth="1"/>
    <col min="19" max="20" width="13.7109375" style="62" hidden="1" customWidth="1"/>
    <col min="21" max="21" width="9.140625" style="62"/>
    <col min="22" max="22" width="12.5703125" style="62" bestFit="1" customWidth="1"/>
    <col min="23" max="23" width="16.42578125" style="62" bestFit="1" customWidth="1"/>
    <col min="24" max="16384" width="9.140625" style="62"/>
  </cols>
  <sheetData>
    <row r="1" spans="2:20" s="79" customFormat="1" x14ac:dyDescent="0.25">
      <c r="B1" s="79">
        <v>1</v>
      </c>
      <c r="C1" s="79">
        <v>2</v>
      </c>
      <c r="D1" s="79">
        <v>3</v>
      </c>
      <c r="E1" s="79">
        <v>4</v>
      </c>
      <c r="F1" s="79">
        <v>5</v>
      </c>
      <c r="G1" s="79">
        <v>6</v>
      </c>
      <c r="H1" s="79">
        <v>7</v>
      </c>
      <c r="I1" s="79">
        <v>8</v>
      </c>
      <c r="J1" s="79">
        <v>9</v>
      </c>
      <c r="K1" s="79">
        <v>10</v>
      </c>
      <c r="L1" s="79">
        <v>11</v>
      </c>
      <c r="M1" s="79">
        <v>12</v>
      </c>
      <c r="N1" s="79">
        <v>13</v>
      </c>
      <c r="O1" s="79">
        <v>14</v>
      </c>
      <c r="P1" s="79">
        <v>15</v>
      </c>
      <c r="Q1" s="79">
        <v>16</v>
      </c>
      <c r="R1" s="79">
        <v>17</v>
      </c>
      <c r="S1" s="79">
        <v>18</v>
      </c>
      <c r="T1" s="79">
        <v>19</v>
      </c>
    </row>
    <row r="3" spans="2:20" ht="38.25" x14ac:dyDescent="0.25">
      <c r="B3" s="64" t="s">
        <v>137</v>
      </c>
      <c r="C3" s="67" t="s">
        <v>138</v>
      </c>
      <c r="D3" s="67" t="s">
        <v>139</v>
      </c>
      <c r="E3" s="67" t="s">
        <v>140</v>
      </c>
      <c r="F3" s="67" t="s">
        <v>141</v>
      </c>
      <c r="G3" s="68" t="s">
        <v>157</v>
      </c>
      <c r="H3" s="68" t="s">
        <v>158</v>
      </c>
      <c r="I3" s="68" t="s">
        <v>160</v>
      </c>
      <c r="J3" s="68" t="s">
        <v>159</v>
      </c>
      <c r="K3" s="67" t="s">
        <v>142</v>
      </c>
      <c r="L3" s="67" t="s">
        <v>143</v>
      </c>
      <c r="M3" s="67" t="s">
        <v>155</v>
      </c>
      <c r="O3" s="86" t="s">
        <v>161</v>
      </c>
      <c r="P3" s="86"/>
      <c r="Q3" s="86"/>
      <c r="S3" s="87" t="s">
        <v>162</v>
      </c>
      <c r="T3" s="87" t="s">
        <v>75</v>
      </c>
    </row>
    <row r="4" spans="2:20" x14ac:dyDescent="0.25">
      <c r="B4" s="65"/>
      <c r="C4" s="88" t="s">
        <v>144</v>
      </c>
      <c r="D4" s="89"/>
      <c r="E4" s="89"/>
      <c r="F4" s="89"/>
      <c r="G4" s="89"/>
      <c r="H4" s="89"/>
      <c r="I4" s="89"/>
      <c r="J4" s="89"/>
      <c r="K4" s="89"/>
      <c r="L4" s="89"/>
      <c r="M4" s="90"/>
      <c r="O4" s="86"/>
      <c r="P4" s="86"/>
      <c r="Q4" s="86"/>
      <c r="S4" s="87"/>
      <c r="T4" s="87"/>
    </row>
    <row r="5" spans="2:20" x14ac:dyDescent="0.25">
      <c r="B5" s="63">
        <v>1</v>
      </c>
      <c r="C5" s="63" t="s">
        <v>145</v>
      </c>
      <c r="D5" s="63">
        <v>5</v>
      </c>
      <c r="E5" s="63" t="s">
        <v>152</v>
      </c>
      <c r="F5" s="63">
        <v>10</v>
      </c>
      <c r="G5" s="70">
        <f>1680.17/220*(10*5)</f>
        <v>381.8568181818182</v>
      </c>
      <c r="H5" s="70">
        <v>0</v>
      </c>
      <c r="I5" s="70">
        <f>$O$28</f>
        <v>0</v>
      </c>
      <c r="J5" s="75">
        <v>0.05</v>
      </c>
      <c r="K5" s="80">
        <f>'1'!D145</f>
        <v>1090.0898999999999</v>
      </c>
      <c r="L5" s="66">
        <f>K5*D5</f>
        <v>5450.4494999999997</v>
      </c>
      <c r="M5" s="66">
        <f>L5*F5</f>
        <v>54504.494999999995</v>
      </c>
      <c r="O5" s="70">
        <f>P5*D5*F5</f>
        <v>122265.5</v>
      </c>
      <c r="P5" s="70">
        <v>2445.31</v>
      </c>
      <c r="Q5" s="71">
        <f t="shared" ref="Q5:Q9" si="0">M5/O5-100%</f>
        <v>-0.5542119813029841</v>
      </c>
      <c r="S5" s="74">
        <v>0.20000351193632693</v>
      </c>
      <c r="T5" s="74">
        <f>$T$14</f>
        <v>5.0000000000000001E-3</v>
      </c>
    </row>
    <row r="6" spans="2:20" x14ac:dyDescent="0.25">
      <c r="B6" s="63">
        <v>2</v>
      </c>
      <c r="C6" s="63" t="s">
        <v>145</v>
      </c>
      <c r="D6" s="63">
        <v>8</v>
      </c>
      <c r="E6" s="63" t="s">
        <v>153</v>
      </c>
      <c r="F6" s="63">
        <v>10</v>
      </c>
      <c r="G6" s="70">
        <f>1680.17/220*180</f>
        <v>1374.6845454545455</v>
      </c>
      <c r="H6" s="70">
        <v>18.14</v>
      </c>
      <c r="I6" s="70">
        <f t="shared" ref="I6:I9" si="1">$O$28</f>
        <v>0</v>
      </c>
      <c r="J6" s="75">
        <v>0.05</v>
      </c>
      <c r="K6" s="80">
        <f>'2'!D145</f>
        <v>3364.7507999999998</v>
      </c>
      <c r="L6" s="66">
        <f>K6*D6</f>
        <v>26918.006399999998</v>
      </c>
      <c r="M6" s="66">
        <f>L6*F6</f>
        <v>269180.06400000001</v>
      </c>
      <c r="O6" s="70">
        <f>P6*D6*F6</f>
        <v>322388</v>
      </c>
      <c r="P6" s="70">
        <v>4029.85</v>
      </c>
      <c r="Q6" s="71">
        <f t="shared" si="0"/>
        <v>-0.16504316537836394</v>
      </c>
      <c r="S6" s="74">
        <v>2.615638587873122E-2</v>
      </c>
      <c r="T6" s="74">
        <f t="shared" ref="T6:T9" si="2">$T$14</f>
        <v>5.0000000000000001E-3</v>
      </c>
    </row>
    <row r="7" spans="2:20" x14ac:dyDescent="0.25">
      <c r="B7" s="63">
        <v>3</v>
      </c>
      <c r="C7" s="63" t="s">
        <v>145</v>
      </c>
      <c r="D7" s="63">
        <v>2</v>
      </c>
      <c r="E7" s="63" t="s">
        <v>154</v>
      </c>
      <c r="F7" s="63">
        <v>10</v>
      </c>
      <c r="G7" s="70">
        <f>1680.17</f>
        <v>1680.17</v>
      </c>
      <c r="H7" s="70">
        <v>22.06</v>
      </c>
      <c r="I7" s="70">
        <f t="shared" si="1"/>
        <v>0</v>
      </c>
      <c r="J7" s="75">
        <v>0.05</v>
      </c>
      <c r="K7" s="80">
        <f>'3'!D145</f>
        <v>4074.2</v>
      </c>
      <c r="L7" s="66">
        <f>K7*D7</f>
        <v>8148.4</v>
      </c>
      <c r="M7" s="66">
        <f>L7*F7</f>
        <v>81484</v>
      </c>
      <c r="O7" s="70">
        <f>P7*D7*F7</f>
        <v>86359</v>
      </c>
      <c r="P7" s="70">
        <v>4317.95</v>
      </c>
      <c r="Q7" s="71">
        <f t="shared" si="0"/>
        <v>-5.6450398916152333E-2</v>
      </c>
      <c r="S7" s="74">
        <v>2.6153641482137644E-2</v>
      </c>
      <c r="T7" s="74">
        <f t="shared" si="2"/>
        <v>5.0000000000000001E-3</v>
      </c>
    </row>
    <row r="8" spans="2:20" x14ac:dyDescent="0.25">
      <c r="B8" s="63">
        <v>4</v>
      </c>
      <c r="C8" s="63" t="s">
        <v>146</v>
      </c>
      <c r="D8" s="63">
        <v>4</v>
      </c>
      <c r="E8" s="63" t="s">
        <v>154</v>
      </c>
      <c r="F8" s="63">
        <v>10</v>
      </c>
      <c r="G8" s="70">
        <f>1633.33</f>
        <v>1633.33</v>
      </c>
      <c r="H8" s="70">
        <v>22.06</v>
      </c>
      <c r="I8" s="70">
        <f t="shared" si="1"/>
        <v>0</v>
      </c>
      <c r="J8" s="75">
        <v>0.05</v>
      </c>
      <c r="K8" s="80">
        <f>'4'!D145</f>
        <v>3979.58</v>
      </c>
      <c r="L8" s="66">
        <f>K8*D8</f>
        <v>15918.32</v>
      </c>
      <c r="M8" s="66">
        <f>L8*F8</f>
        <v>159183.20000000001</v>
      </c>
      <c r="O8" s="70">
        <f>P8*D8*F8</f>
        <v>165829.19999999998</v>
      </c>
      <c r="P8" s="70">
        <v>4145.7299999999996</v>
      </c>
      <c r="Q8" s="71">
        <f t="shared" si="0"/>
        <v>-4.0077380823160036E-2</v>
      </c>
      <c r="S8" s="74">
        <v>2.615559928903783E-2</v>
      </c>
      <c r="T8" s="74">
        <f t="shared" si="2"/>
        <v>5.0000000000000001E-3</v>
      </c>
    </row>
    <row r="9" spans="2:20" x14ac:dyDescent="0.25">
      <c r="B9" s="63">
        <v>5</v>
      </c>
      <c r="C9" s="63" t="s">
        <v>147</v>
      </c>
      <c r="D9" s="63">
        <v>7</v>
      </c>
      <c r="E9" s="63" t="s">
        <v>154</v>
      </c>
      <c r="F9" s="63">
        <v>10</v>
      </c>
      <c r="G9" s="70">
        <f>1541.27</f>
        <v>1541.27</v>
      </c>
      <c r="H9" s="70">
        <v>22.06</v>
      </c>
      <c r="I9" s="70">
        <f t="shared" si="1"/>
        <v>0</v>
      </c>
      <c r="J9" s="75">
        <v>0.03</v>
      </c>
      <c r="K9" s="80">
        <f>'5'!D145</f>
        <v>4321.92</v>
      </c>
      <c r="L9" s="66">
        <f>K9*D9</f>
        <v>30253.440000000002</v>
      </c>
      <c r="M9" s="66">
        <f>L9*F9</f>
        <v>302534.40000000002</v>
      </c>
      <c r="O9" s="70">
        <f>P9*D9*F9</f>
        <v>321005.3</v>
      </c>
      <c r="P9" s="70">
        <v>4585.79</v>
      </c>
      <c r="Q9" s="71">
        <f t="shared" si="0"/>
        <v>-5.7540794497785486E-2</v>
      </c>
      <c r="S9" s="74">
        <v>2.6154650000000002E-2</v>
      </c>
      <c r="T9" s="74">
        <f t="shared" si="2"/>
        <v>5.0000000000000001E-3</v>
      </c>
    </row>
    <row r="10" spans="2:20" x14ac:dyDescent="0.25">
      <c r="B10" s="63"/>
      <c r="C10" s="88" t="s">
        <v>148</v>
      </c>
      <c r="D10" s="89"/>
      <c r="E10" s="89"/>
      <c r="F10" s="89"/>
      <c r="G10" s="89"/>
      <c r="H10" s="89"/>
      <c r="I10" s="89"/>
      <c r="J10" s="89"/>
      <c r="K10" s="89"/>
      <c r="L10" s="89"/>
      <c r="M10" s="90"/>
      <c r="O10" s="70"/>
      <c r="P10" s="70"/>
      <c r="Q10" s="69"/>
    </row>
    <row r="11" spans="2:20" x14ac:dyDescent="0.25">
      <c r="B11" s="63">
        <v>6</v>
      </c>
      <c r="C11" s="63" t="s">
        <v>149</v>
      </c>
      <c r="D11" s="63">
        <v>10</v>
      </c>
      <c r="E11" s="63" t="s">
        <v>154</v>
      </c>
      <c r="F11" s="63">
        <v>12</v>
      </c>
      <c r="G11" s="70">
        <f>1541.27</f>
        <v>1541.27</v>
      </c>
      <c r="H11" s="70">
        <v>22.06</v>
      </c>
      <c r="I11" s="70">
        <f t="shared" ref="I11:I14" si="3">$O$28</f>
        <v>0</v>
      </c>
      <c r="J11" s="75">
        <v>0.05</v>
      </c>
      <c r="K11" s="80">
        <f>'6'!D145</f>
        <v>4416.54</v>
      </c>
      <c r="L11" s="66">
        <f>K11*D11</f>
        <v>44165.4</v>
      </c>
      <c r="M11" s="66">
        <f>L11*F11</f>
        <v>529984.80000000005</v>
      </c>
      <c r="O11" s="70">
        <f t="shared" ref="O11:O14" si="4">P11*D11*F11</f>
        <v>550294.80000000005</v>
      </c>
      <c r="P11" s="70">
        <v>4585.79</v>
      </c>
      <c r="Q11" s="71">
        <f t="shared" ref="Q11:Q14" si="5">M11/O11-100%</f>
        <v>-3.6907490312465208E-2</v>
      </c>
      <c r="S11" s="74">
        <v>2.6153870629830347E-2</v>
      </c>
      <c r="T11" s="74">
        <f t="shared" ref="T11:T13" si="6">$T$14</f>
        <v>5.0000000000000001E-3</v>
      </c>
    </row>
    <row r="12" spans="2:20" x14ac:dyDescent="0.25">
      <c r="B12" s="63">
        <v>7</v>
      </c>
      <c r="C12" s="63" t="s">
        <v>150</v>
      </c>
      <c r="D12" s="63">
        <v>1</v>
      </c>
      <c r="E12" s="63" t="s">
        <v>154</v>
      </c>
      <c r="F12" s="63">
        <v>12</v>
      </c>
      <c r="G12" s="70">
        <f>1739.01</f>
        <v>1739.01</v>
      </c>
      <c r="H12" s="70">
        <v>22.06</v>
      </c>
      <c r="I12" s="70">
        <f t="shared" si="3"/>
        <v>0</v>
      </c>
      <c r="J12" s="75">
        <v>0.05</v>
      </c>
      <c r="K12" s="80">
        <f>'7'!D145</f>
        <v>5241.76</v>
      </c>
      <c r="L12" s="66">
        <f>K12*D12</f>
        <v>5241.76</v>
      </c>
      <c r="M12" s="66">
        <f>L12*F12</f>
        <v>62901.120000000003</v>
      </c>
      <c r="O12" s="70">
        <f t="shared" si="4"/>
        <v>64645.319999999992</v>
      </c>
      <c r="P12" s="70">
        <v>5387.11</v>
      </c>
      <c r="Q12" s="71">
        <f t="shared" si="5"/>
        <v>-2.6981071483596852E-2</v>
      </c>
      <c r="S12" s="74">
        <v>2.6156150809281499E-2</v>
      </c>
      <c r="T12" s="74">
        <f t="shared" si="6"/>
        <v>5.0000000000000001E-3</v>
      </c>
    </row>
    <row r="13" spans="2:20" x14ac:dyDescent="0.25">
      <c r="B13" s="63">
        <v>8</v>
      </c>
      <c r="C13" s="63" t="s">
        <v>151</v>
      </c>
      <c r="D13" s="63">
        <v>3</v>
      </c>
      <c r="E13" s="63" t="s">
        <v>154</v>
      </c>
      <c r="F13" s="63">
        <v>12</v>
      </c>
      <c r="G13" s="70">
        <f>1633.33</f>
        <v>1633.33</v>
      </c>
      <c r="H13" s="70">
        <v>22.06</v>
      </c>
      <c r="I13" s="70">
        <f t="shared" si="3"/>
        <v>0</v>
      </c>
      <c r="J13" s="75">
        <v>0.05</v>
      </c>
      <c r="K13" s="80">
        <f>'8'!D145</f>
        <v>3979.58</v>
      </c>
      <c r="L13" s="66">
        <f>K13*D13</f>
        <v>11938.74</v>
      </c>
      <c r="M13" s="66">
        <f>L13*F13</f>
        <v>143264.88</v>
      </c>
      <c r="O13" s="70">
        <f t="shared" si="4"/>
        <v>149246.27999999997</v>
      </c>
      <c r="P13" s="70">
        <v>4145.7299999999996</v>
      </c>
      <c r="Q13" s="71">
        <f t="shared" si="5"/>
        <v>-4.0077380823160036E-2</v>
      </c>
      <c r="S13" s="74">
        <v>2.615559928903783E-2</v>
      </c>
      <c r="T13" s="74">
        <f t="shared" si="6"/>
        <v>5.0000000000000001E-3</v>
      </c>
    </row>
    <row r="14" spans="2:20" x14ac:dyDescent="0.25">
      <c r="B14" s="63">
        <v>9</v>
      </c>
      <c r="C14" s="63" t="s">
        <v>147</v>
      </c>
      <c r="D14" s="63">
        <v>1</v>
      </c>
      <c r="E14" s="63" t="s">
        <v>154</v>
      </c>
      <c r="F14" s="63">
        <v>12</v>
      </c>
      <c r="G14" s="70">
        <f>1541.27</f>
        <v>1541.27</v>
      </c>
      <c r="H14" s="70">
        <v>22.06</v>
      </c>
      <c r="I14" s="70">
        <f t="shared" si="3"/>
        <v>0</v>
      </c>
      <c r="J14" s="75">
        <v>0.03</v>
      </c>
      <c r="K14" s="80">
        <f>'9'!D145</f>
        <v>4321.92</v>
      </c>
      <c r="L14" s="66">
        <f>K14*D14</f>
        <v>4321.92</v>
      </c>
      <c r="M14" s="66">
        <f>L14*F14</f>
        <v>51863.040000000001</v>
      </c>
      <c r="O14" s="70">
        <f t="shared" si="4"/>
        <v>55029.479999999996</v>
      </c>
      <c r="P14" s="70">
        <v>4585.79</v>
      </c>
      <c r="Q14" s="71">
        <f t="shared" si="5"/>
        <v>-5.7540794497785486E-2</v>
      </c>
      <c r="S14" s="74">
        <v>2.6154650000000002E-2</v>
      </c>
      <c r="T14" s="74">
        <v>5.0000000000000001E-3</v>
      </c>
    </row>
    <row r="15" spans="2:20" ht="20.25" customHeight="1" x14ac:dyDescent="0.25">
      <c r="C15" s="91" t="s">
        <v>156</v>
      </c>
      <c r="D15" s="91"/>
      <c r="E15" s="91"/>
      <c r="F15" s="91"/>
      <c r="G15" s="91"/>
      <c r="H15" s="91"/>
      <c r="I15" s="91"/>
      <c r="J15" s="91"/>
      <c r="K15" s="91"/>
      <c r="L15" s="91"/>
      <c r="M15" s="82">
        <f>ROUND(SUM(M5:M9,M11:M14),2)</f>
        <v>1654900</v>
      </c>
      <c r="O15" s="72">
        <f>SUM(O5:O9,O11:O14)</f>
        <v>1837062.8800000001</v>
      </c>
      <c r="P15" s="69"/>
      <c r="Q15" s="73">
        <f>M15/O15-100%</f>
        <v>-9.9159850206107292E-2</v>
      </c>
    </row>
    <row r="16" spans="2:20" ht="27" customHeight="1" x14ac:dyDescent="0.25">
      <c r="C16" s="83" t="str" cm="1">
        <f t="array" ref="C16">"("&amp;[1]!VEXTENSO(M15)&amp;")"</f>
        <v>(um milhão, seiscentos e cinquenta e quatro mil, novecentos reais)</v>
      </c>
      <c r="D16" s="84"/>
      <c r="E16" s="84"/>
      <c r="F16" s="84"/>
      <c r="G16" s="84"/>
      <c r="H16" s="84"/>
      <c r="I16" s="84"/>
      <c r="J16" s="84"/>
      <c r="K16" s="84"/>
      <c r="L16" s="84"/>
      <c r="M16" s="85"/>
      <c r="O16" s="76">
        <f>SUM(O5:O9)</f>
        <v>1017847</v>
      </c>
      <c r="P16" s="76">
        <f>O16/10</f>
        <v>101784.7</v>
      </c>
      <c r="Q16" s="63" t="s">
        <v>164</v>
      </c>
    </row>
    <row r="17" spans="11:17" x14ac:dyDescent="0.25">
      <c r="O17" s="76">
        <f>SUM(O11:O14)</f>
        <v>819215.87999999989</v>
      </c>
      <c r="P17" s="76">
        <f>O17/12</f>
        <v>68267.989999999991</v>
      </c>
      <c r="Q17" s="63" t="s">
        <v>163</v>
      </c>
    </row>
    <row r="18" spans="11:17" hidden="1" x14ac:dyDescent="0.25">
      <c r="K18" s="63" t="s">
        <v>164</v>
      </c>
      <c r="L18" s="76">
        <f>M18/10</f>
        <v>86688.615900000004</v>
      </c>
      <c r="M18" s="76">
        <f>SUM(M5:M9)</f>
        <v>866886.1590000001</v>
      </c>
    </row>
    <row r="19" spans="11:17" hidden="1" x14ac:dyDescent="0.25">
      <c r="K19" s="63" t="s">
        <v>163</v>
      </c>
      <c r="L19" s="76">
        <f>M19/12</f>
        <v>65667.820000000007</v>
      </c>
      <c r="M19" s="76">
        <f>SUM(M11:M14)</f>
        <v>788013.84000000008</v>
      </c>
    </row>
    <row r="20" spans="11:17" hidden="1" x14ac:dyDescent="0.25"/>
    <row r="21" spans="11:17" hidden="1" x14ac:dyDescent="0.25">
      <c r="M21" s="78">
        <v>1654900</v>
      </c>
    </row>
    <row r="22" spans="11:17" hidden="1" x14ac:dyDescent="0.25">
      <c r="M22" s="77">
        <f>M15-M21</f>
        <v>0</v>
      </c>
    </row>
  </sheetData>
  <mergeCells count="7">
    <mergeCell ref="C16:M16"/>
    <mergeCell ref="O3:Q4"/>
    <mergeCell ref="S3:S4"/>
    <mergeCell ref="T3:T4"/>
    <mergeCell ref="C4:M4"/>
    <mergeCell ref="C10:M10"/>
    <mergeCell ref="C15:L15"/>
  </mergeCells>
  <conditionalFormatting sqref="Q5:Q9">
    <cfRule type="cellIs" dxfId="3" priority="1" operator="lessThan">
      <formula>0</formula>
    </cfRule>
    <cfRule type="cellIs" dxfId="2" priority="2" operator="greaterThan">
      <formula>0</formula>
    </cfRule>
  </conditionalFormatting>
  <conditionalFormatting sqref="Q11:Q15">
    <cfRule type="cellIs" dxfId="1" priority="3" operator="lessThan">
      <formula>0</formula>
    </cfRule>
    <cfRule type="cellIs" dxfId="0" priority="4" operator="greaterThan">
      <formula>0</formula>
    </cfRule>
  </conditionalFormatting>
  <printOptions horizontalCentered="1"/>
  <pageMargins left="0.78740157480314965" right="0.78740157480314965" top="1.5748031496062993" bottom="0.78740157480314965" header="0" footer="0"/>
  <pageSetup paperSize="9" scale="81" orientation="portrait" r:id="rId1"/>
  <headerFooter>
    <oddHeader>&amp;L
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M157"/>
  <sheetViews>
    <sheetView tabSelected="1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1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10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Monitor de transporte escolar</v>
      </c>
      <c r="B14" s="114"/>
      <c r="C14" s="115" t="s">
        <v>105</v>
      </c>
      <c r="D14" s="117">
        <f>VLOOKUP($F$4,'Quadro Resumo'!$B$5:$T$14,3,FALSE)</f>
        <v>5</v>
      </c>
    </row>
    <row r="15" spans="1:6" x14ac:dyDescent="0.25">
      <c r="A15" s="114" t="str">
        <f>VLOOKUP($F$4,'Quadro Resumo'!$B$5:$T$14,4,FALSE)&amp;" - "&amp;"de segunda a sexta-feira, diurno, com intervalo"</f>
        <v>10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Monitor de transporte escolar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381.8568181818182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Monitor de transporte escolar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381.8568181818182</v>
      </c>
    </row>
    <row r="29" spans="1:4" x14ac:dyDescent="0.25">
      <c r="A29" s="45" t="s">
        <v>3</v>
      </c>
      <c r="B29" s="110" t="s">
        <v>112</v>
      </c>
      <c r="C29" s="110"/>
      <c r="D29" s="9"/>
    </row>
    <row r="30" spans="1:4" x14ac:dyDescent="0.25">
      <c r="A30" s="45" t="s">
        <v>4</v>
      </c>
      <c r="B30" s="110" t="s">
        <v>111</v>
      </c>
      <c r="C30" s="110"/>
      <c r="D30" s="9"/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381.8568181818182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31.81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42.43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74.239999999999995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27.98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102.22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76.37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9.5500000000000007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14.85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5.73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3.82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2.29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0.76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30.55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143.91999999999999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0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26.729977272727275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0.38185681818181821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0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3.8185681818181822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41.93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102.22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143.91999999999999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41.93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288.07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1.9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0.15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2.37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1.69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0.64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12.22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18.97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4.78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0.25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0.13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0.22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0.27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0.25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5.9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5.9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5.9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0.20000351193632693</v>
      </c>
      <c r="D119" s="9">
        <f>D138*C119</f>
        <v>165.14289980582515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4.9542144990291268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7.0855842835047111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32.702696693098666</v>
      </c>
    </row>
    <row r="124" spans="1:4" x14ac:dyDescent="0.25">
      <c r="A124" s="22"/>
      <c r="B124" s="16" t="s">
        <v>96</v>
      </c>
      <c r="C124" s="32">
        <f>VLOOKUP($F$4,'Quadro Resumo'!$B$5:$T$14,9,FALSE)</f>
        <v>0.05</v>
      </c>
      <c r="D124" s="9">
        <f>(D138+D119+D120)/(1-$C$125)*C124</f>
        <v>54.504494488497784</v>
      </c>
    </row>
    <row r="125" spans="1:4" x14ac:dyDescent="0.25">
      <c r="A125" s="44"/>
      <c r="B125" s="34" t="s">
        <v>90</v>
      </c>
      <c r="C125" s="33">
        <f>SUM(C122:C124)</f>
        <v>8.6499999999999994E-2</v>
      </c>
      <c r="D125" s="13">
        <f>SUM(D122:D124)</f>
        <v>94.292775465101158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264.38988976995546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0.91349999999999998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381.86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288.07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18.97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5.9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825.7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264.38988976995546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1090.0898999999999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1090.0898999999999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5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5450.4494999999997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54504.494999999995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:B15"/>
    <mergeCell ref="C14:C15"/>
    <mergeCell ref="D14:D15"/>
    <mergeCell ref="A14:B14"/>
    <mergeCell ref="A1:D1"/>
    <mergeCell ref="A2:D2"/>
    <mergeCell ref="A3:D3"/>
    <mergeCell ref="A7:D7"/>
    <mergeCell ref="B8:C8"/>
    <mergeCell ref="B9:C9"/>
    <mergeCell ref="B10:C10"/>
    <mergeCell ref="B11:C11"/>
    <mergeCell ref="A13:B13"/>
    <mergeCell ref="B4:D4"/>
    <mergeCell ref="B5:D5"/>
    <mergeCell ref="B28:C28"/>
    <mergeCell ref="A17:D17"/>
    <mergeCell ref="A18:C18"/>
    <mergeCell ref="A19:D19"/>
    <mergeCell ref="B20:C20"/>
    <mergeCell ref="B21:C21"/>
    <mergeCell ref="B22:C22"/>
    <mergeCell ref="B23:C23"/>
    <mergeCell ref="B24:C24"/>
    <mergeCell ref="A25:C25"/>
    <mergeCell ref="A26:D26"/>
    <mergeCell ref="B27:C27"/>
    <mergeCell ref="A58:D58"/>
    <mergeCell ref="B29:C29"/>
    <mergeCell ref="B30:C30"/>
    <mergeCell ref="B31:C31"/>
    <mergeCell ref="B32:C32"/>
    <mergeCell ref="B33:C33"/>
    <mergeCell ref="A34:C34"/>
    <mergeCell ref="A36:D36"/>
    <mergeCell ref="A38:D38"/>
    <mergeCell ref="A44:B44"/>
    <mergeCell ref="A46:D46"/>
    <mergeCell ref="A56:B56"/>
    <mergeCell ref="B71:C71"/>
    <mergeCell ref="B72:C72"/>
    <mergeCell ref="B73:C73"/>
    <mergeCell ref="B64:C64"/>
    <mergeCell ref="B59:C59"/>
    <mergeCell ref="B60:C60"/>
    <mergeCell ref="B61:C61"/>
    <mergeCell ref="B62:C62"/>
    <mergeCell ref="B63:C63"/>
    <mergeCell ref="B65:C65"/>
    <mergeCell ref="B66:C66"/>
    <mergeCell ref="A67:C67"/>
    <mergeCell ref="A69:D69"/>
    <mergeCell ref="B70:C70"/>
    <mergeCell ref="B106:C106"/>
    <mergeCell ref="A74:C74"/>
    <mergeCell ref="A76:D76"/>
    <mergeCell ref="A84:B84"/>
    <mergeCell ref="A86:D86"/>
    <mergeCell ref="A88:D88"/>
    <mergeCell ref="A97:B97"/>
    <mergeCell ref="A99:D99"/>
    <mergeCell ref="A102:C102"/>
    <mergeCell ref="A104:D104"/>
    <mergeCell ref="B105:C105"/>
    <mergeCell ref="A127:D127"/>
    <mergeCell ref="B107:C107"/>
    <mergeCell ref="A108:C108"/>
    <mergeCell ref="A110:D110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40:C140"/>
    <mergeCell ref="A128:D128"/>
    <mergeCell ref="A129:B129"/>
    <mergeCell ref="A131:D131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57:D157"/>
    <mergeCell ref="A142:D142"/>
    <mergeCell ref="A143:D143"/>
    <mergeCell ref="B144:C144"/>
    <mergeCell ref="B145:C145"/>
    <mergeCell ref="B146:C146"/>
    <mergeCell ref="B147:C147"/>
    <mergeCell ref="B148:C148"/>
    <mergeCell ref="A150:D150"/>
    <mergeCell ref="A154:D154"/>
    <mergeCell ref="A155:D155"/>
    <mergeCell ref="A156:D156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opLeftCell="A74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2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10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Monitor de transporte escolar</v>
      </c>
      <c r="B14" s="114"/>
      <c r="C14" s="115" t="s">
        <v>105</v>
      </c>
      <c r="D14" s="117">
        <f>VLOOKUP($F$4,'Quadro Resumo'!$B$5:$T$14,3,FALSE)</f>
        <v>8</v>
      </c>
    </row>
    <row r="15" spans="1:6" x14ac:dyDescent="0.25">
      <c r="A15" s="114" t="str">
        <f>VLOOKUP($F$4,'Quadro Resumo'!$B$5:$T$14,4,FALSE)&amp;" - "&amp;"de segunda a sexta-feira, diurno, com intervalo"</f>
        <v>30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Monitor de transporte escolar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1374.6845454545455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Monitor de transporte escolar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1374.6845454545455</v>
      </c>
    </row>
    <row r="29" spans="1:4" x14ac:dyDescent="0.25">
      <c r="A29" s="45" t="s">
        <v>3</v>
      </c>
      <c r="B29" s="110" t="s">
        <v>112</v>
      </c>
      <c r="C29" s="110"/>
      <c r="D29" s="9"/>
    </row>
    <row r="30" spans="1:4" x14ac:dyDescent="0.25">
      <c r="A30" s="45" t="s">
        <v>4</v>
      </c>
      <c r="B30" s="110" t="s">
        <v>111</v>
      </c>
      <c r="C30" s="110"/>
      <c r="D30" s="9"/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1374.6845454545455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114.51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152.74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267.25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100.73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367.98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274.94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34.369999999999997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53.48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20.62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13.75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8.25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2.75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109.97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518.13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377.13060000000002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96.227918181818197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1.3746845454545455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18.14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13.746845454545456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499.48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367.98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518.13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499.48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1385.59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6.84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0.55000000000000004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8.5399999999999991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6.07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2.29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44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68.290000000000006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17.02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0.87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0.48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0.8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0.95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0.87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20.99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20.99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20.99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2.615638587873122E-2</v>
      </c>
      <c r="D119" s="9">
        <f>D138*C119</f>
        <v>77.957800292264466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15.292039001461321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21.870880082549771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100.94252345792202</v>
      </c>
    </row>
    <row r="124" spans="1:4" x14ac:dyDescent="0.25">
      <c r="A124" s="22"/>
      <c r="B124" s="16" t="s">
        <v>96</v>
      </c>
      <c r="C124" s="32">
        <f>VLOOKUP($F$4,'Quadro Resumo'!$B$5:$T$14,9,FALSE)</f>
        <v>0.05</v>
      </c>
      <c r="D124" s="9">
        <f>(D138+D119+D120)/(1-$C$125)*C124</f>
        <v>168.23753909653672</v>
      </c>
    </row>
    <row r="125" spans="1:4" x14ac:dyDescent="0.25">
      <c r="A125" s="44"/>
      <c r="B125" s="34" t="s">
        <v>90</v>
      </c>
      <c r="C125" s="33">
        <f>SUM(C122:C124)</f>
        <v>8.6499999999999994E-2</v>
      </c>
      <c r="D125" s="13">
        <f>SUM(D122:D124)</f>
        <v>291.05094263700852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384.30078193073433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0.91349999999999998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1374.68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1385.59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68.290000000000006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20.99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2980.45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384.30078193073433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3364.7507999999998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3364.7507999999998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8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26918.006399999998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269180.06400000001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5:D155"/>
    <mergeCell ref="A156:D156"/>
    <mergeCell ref="A157:D157"/>
    <mergeCell ref="B145:C145"/>
    <mergeCell ref="B146:C146"/>
    <mergeCell ref="B147:C147"/>
    <mergeCell ref="B148:C148"/>
    <mergeCell ref="A150:D150"/>
    <mergeCell ref="A154:D154"/>
    <mergeCell ref="B144:C144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40:C140"/>
    <mergeCell ref="A142:D142"/>
    <mergeCell ref="A143:D143"/>
    <mergeCell ref="A131:D131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27:D127"/>
    <mergeCell ref="A128:D128"/>
    <mergeCell ref="A129:B129"/>
    <mergeCell ref="A110:D110"/>
    <mergeCell ref="A84:B84"/>
    <mergeCell ref="A86:D86"/>
    <mergeCell ref="A88:D88"/>
    <mergeCell ref="A97:B97"/>
    <mergeCell ref="A99:D99"/>
    <mergeCell ref="A102:C102"/>
    <mergeCell ref="A104:D104"/>
    <mergeCell ref="B105:C105"/>
    <mergeCell ref="B106:C106"/>
    <mergeCell ref="B107:C107"/>
    <mergeCell ref="A108:C108"/>
    <mergeCell ref="A76:D76"/>
    <mergeCell ref="B63:C63"/>
    <mergeCell ref="B64:C64"/>
    <mergeCell ref="B65:C65"/>
    <mergeCell ref="B66:C66"/>
    <mergeCell ref="A67:C67"/>
    <mergeCell ref="A69:D69"/>
    <mergeCell ref="B70:C70"/>
    <mergeCell ref="B71:C71"/>
    <mergeCell ref="B72:C72"/>
    <mergeCell ref="B73:C73"/>
    <mergeCell ref="A74:C74"/>
    <mergeCell ref="B62:C62"/>
    <mergeCell ref="B33:C33"/>
    <mergeCell ref="A34:C34"/>
    <mergeCell ref="A36:D36"/>
    <mergeCell ref="A38:D38"/>
    <mergeCell ref="A44:B44"/>
    <mergeCell ref="A46:D46"/>
    <mergeCell ref="A56:B56"/>
    <mergeCell ref="A58:D58"/>
    <mergeCell ref="B59:C59"/>
    <mergeCell ref="B60:C60"/>
    <mergeCell ref="B61:C61"/>
    <mergeCell ref="B32:C32"/>
    <mergeCell ref="B21:C21"/>
    <mergeCell ref="B22:C22"/>
    <mergeCell ref="B23:C23"/>
    <mergeCell ref="B24:C24"/>
    <mergeCell ref="A25:C25"/>
    <mergeCell ref="A26:D26"/>
    <mergeCell ref="B27:C27"/>
    <mergeCell ref="B28:C28"/>
    <mergeCell ref="B29:C29"/>
    <mergeCell ref="B30:C30"/>
    <mergeCell ref="B31:C31"/>
    <mergeCell ref="D14:D15"/>
    <mergeCell ref="A15:B15"/>
    <mergeCell ref="A17:D17"/>
    <mergeCell ref="A18:C18"/>
    <mergeCell ref="A19:D19"/>
    <mergeCell ref="B20:C20"/>
    <mergeCell ref="B8:C8"/>
    <mergeCell ref="B9:C9"/>
    <mergeCell ref="B10:C10"/>
    <mergeCell ref="B11:C11"/>
    <mergeCell ref="A13:B13"/>
    <mergeCell ref="A14:B14"/>
    <mergeCell ref="C14:C15"/>
    <mergeCell ref="A7:D7"/>
    <mergeCell ref="A1:D1"/>
    <mergeCell ref="A2:D2"/>
    <mergeCell ref="A3:D3"/>
    <mergeCell ref="B4:D4"/>
    <mergeCell ref="B5:D5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opLeftCell="A68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3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10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Monitor de transporte escolar</v>
      </c>
      <c r="B14" s="114"/>
      <c r="C14" s="115" t="s">
        <v>105</v>
      </c>
      <c r="D14" s="117">
        <f>VLOOKUP($F$4,'Quadro Resumo'!$B$5:$T$14,3,FALSE)</f>
        <v>2</v>
      </c>
    </row>
    <row r="15" spans="1:6" x14ac:dyDescent="0.25">
      <c r="A15" s="114" t="str">
        <f>VLOOKUP($F$4,'Quadro Resumo'!$B$5:$T$14,4,FALSE)&amp;" - "&amp;"de segunda a sexta-feira, diurno, com intervalo"</f>
        <v>40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Monitor de transporte escolar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1680.17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Monitor de transporte escolar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1680.17</v>
      </c>
    </row>
    <row r="29" spans="1:4" x14ac:dyDescent="0.25">
      <c r="A29" s="45" t="s">
        <v>3</v>
      </c>
      <c r="B29" s="110" t="s">
        <v>112</v>
      </c>
      <c r="C29" s="110"/>
      <c r="D29" s="9"/>
    </row>
    <row r="30" spans="1:4" x14ac:dyDescent="0.25">
      <c r="A30" s="45" t="s">
        <v>4</v>
      </c>
      <c r="B30" s="110" t="s">
        <v>111</v>
      </c>
      <c r="C30" s="110"/>
      <c r="D30" s="9"/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1680.17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139.96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186.69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326.64999999999998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123.11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449.76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336.03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42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65.36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25.2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16.8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10.08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3.36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134.41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633.24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458.62739999999997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117.61190000000002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1.6801700000000002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22.06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16.8017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605.72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449.76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633.24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605.72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1688.72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8.36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0.67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10.44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7.41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2.79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53.78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83.45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20.79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1.07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0.57999999999999996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0.97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1.1599999999999999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1.07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25.64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25.64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25.64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2.6153641482137644E-2</v>
      </c>
      <c r="D119" s="9">
        <f>D138*C119</f>
        <v>94.385353672056908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18.516326768360287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26.482299860823986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122.22599935764917</v>
      </c>
    </row>
    <row r="124" spans="1:4" x14ac:dyDescent="0.25">
      <c r="A124" s="22"/>
      <c r="B124" s="16" t="s">
        <v>96</v>
      </c>
      <c r="C124" s="32">
        <f>VLOOKUP($F$4,'Quadro Resumo'!$B$5:$T$14,9,FALSE)</f>
        <v>0.05</v>
      </c>
      <c r="D124" s="9">
        <f>(D138+D119+D120)/(1-$C$125)*C124</f>
        <v>203.70999892941529</v>
      </c>
    </row>
    <row r="125" spans="1:4" x14ac:dyDescent="0.25">
      <c r="A125" s="44"/>
      <c r="B125" s="34" t="s">
        <v>90</v>
      </c>
      <c r="C125" s="33">
        <f>SUM(C122:C124)</f>
        <v>8.6499999999999994E-2</v>
      </c>
      <c r="D125" s="13">
        <f>SUM(D122:D124)</f>
        <v>352.41829814788844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465.31997858830562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0.91349999999999998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1680.17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1688.72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83.45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25.64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3608.88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465.31997858830562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4074.2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4074.2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2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8148.4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81484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5:D155"/>
    <mergeCell ref="A156:D156"/>
    <mergeCell ref="A157:D157"/>
    <mergeCell ref="B145:C145"/>
    <mergeCell ref="B146:C146"/>
    <mergeCell ref="B147:C147"/>
    <mergeCell ref="B148:C148"/>
    <mergeCell ref="A150:D150"/>
    <mergeCell ref="A154:D154"/>
    <mergeCell ref="B144:C144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40:C140"/>
    <mergeCell ref="A142:D142"/>
    <mergeCell ref="A143:D143"/>
    <mergeCell ref="A131:D131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27:D127"/>
    <mergeCell ref="A128:D128"/>
    <mergeCell ref="A129:B129"/>
    <mergeCell ref="A110:D110"/>
    <mergeCell ref="A84:B84"/>
    <mergeCell ref="A86:D86"/>
    <mergeCell ref="A88:D88"/>
    <mergeCell ref="A97:B97"/>
    <mergeCell ref="A99:D99"/>
    <mergeCell ref="A102:C102"/>
    <mergeCell ref="A104:D104"/>
    <mergeCell ref="B105:C105"/>
    <mergeCell ref="B106:C106"/>
    <mergeCell ref="B107:C107"/>
    <mergeCell ref="A108:C108"/>
    <mergeCell ref="A76:D76"/>
    <mergeCell ref="B63:C63"/>
    <mergeCell ref="B64:C64"/>
    <mergeCell ref="B65:C65"/>
    <mergeCell ref="B66:C66"/>
    <mergeCell ref="A67:C67"/>
    <mergeCell ref="A69:D69"/>
    <mergeCell ref="B70:C70"/>
    <mergeCell ref="B71:C71"/>
    <mergeCell ref="B72:C72"/>
    <mergeCell ref="B73:C73"/>
    <mergeCell ref="A74:C74"/>
    <mergeCell ref="B62:C62"/>
    <mergeCell ref="B33:C33"/>
    <mergeCell ref="A34:C34"/>
    <mergeCell ref="A36:D36"/>
    <mergeCell ref="A38:D38"/>
    <mergeCell ref="A44:B44"/>
    <mergeCell ref="A46:D46"/>
    <mergeCell ref="A56:B56"/>
    <mergeCell ref="A58:D58"/>
    <mergeCell ref="B59:C59"/>
    <mergeCell ref="B60:C60"/>
    <mergeCell ref="B61:C61"/>
    <mergeCell ref="B32:C32"/>
    <mergeCell ref="B21:C21"/>
    <mergeCell ref="B22:C22"/>
    <mergeCell ref="B23:C23"/>
    <mergeCell ref="B24:C24"/>
    <mergeCell ref="A25:C25"/>
    <mergeCell ref="A26:D26"/>
    <mergeCell ref="B27:C27"/>
    <mergeCell ref="B28:C28"/>
    <mergeCell ref="B29:C29"/>
    <mergeCell ref="B30:C30"/>
    <mergeCell ref="B31:C31"/>
    <mergeCell ref="D14:D15"/>
    <mergeCell ref="A15:B15"/>
    <mergeCell ref="A17:D17"/>
    <mergeCell ref="A18:C18"/>
    <mergeCell ref="A19:D19"/>
    <mergeCell ref="B20:C20"/>
    <mergeCell ref="B8:C8"/>
    <mergeCell ref="B9:C9"/>
    <mergeCell ref="B10:C10"/>
    <mergeCell ref="B11:C11"/>
    <mergeCell ref="A13:B13"/>
    <mergeCell ref="A14:B14"/>
    <mergeCell ref="C14:C15"/>
    <mergeCell ref="A7:D7"/>
    <mergeCell ref="A1:D1"/>
    <mergeCell ref="A2:D2"/>
    <mergeCell ref="A3:D3"/>
    <mergeCell ref="B4:D4"/>
    <mergeCell ref="B5:D5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opLeftCell="A74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4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10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Merendeira</v>
      </c>
      <c r="B14" s="114"/>
      <c r="C14" s="115" t="s">
        <v>105</v>
      </c>
      <c r="D14" s="117">
        <f>VLOOKUP($F$4,'Quadro Resumo'!$B$5:$T$14,3,FALSE)</f>
        <v>4</v>
      </c>
    </row>
    <row r="15" spans="1:6" x14ac:dyDescent="0.25">
      <c r="A15" s="114" t="str">
        <f>VLOOKUP($F$4,'Quadro Resumo'!$B$5:$T$14,4,FALSE)&amp;" - "&amp;"de segunda a sexta-feira, diurno, com intervalo"</f>
        <v>40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Merendeira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1633.33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Merendeira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1633.33</v>
      </c>
    </row>
    <row r="29" spans="1:4" x14ac:dyDescent="0.25">
      <c r="A29" s="45" t="s">
        <v>3</v>
      </c>
      <c r="B29" s="110" t="s">
        <v>112</v>
      </c>
      <c r="C29" s="110"/>
      <c r="D29" s="9"/>
    </row>
    <row r="30" spans="1:4" x14ac:dyDescent="0.25">
      <c r="A30" s="45" t="s">
        <v>4</v>
      </c>
      <c r="B30" s="110" t="s">
        <v>111</v>
      </c>
      <c r="C30" s="110"/>
      <c r="D30" s="9"/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1633.33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136.06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181.48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317.53999999999996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119.68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437.21999999999997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326.67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40.83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63.54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24.5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16.329999999999998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9.8000000000000007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3.27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130.66999999999999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615.61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458.62739999999997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114.3331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1.6333299999999999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22.06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16.333300000000001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601.92999999999995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437.22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615.61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601.92999999999995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1654.76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8.1300000000000008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0.65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10.14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7.21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2.72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52.28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81.13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20.21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1.04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0.56999999999999995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0.95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1.1299999999999999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1.04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24.94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24.94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24.94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2.615559928903783E-2</v>
      </c>
      <c r="D119" s="9">
        <f>D138*C119</f>
        <v>92.200056829815694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18.086300284149079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25.867270192929144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119.38740089044219</v>
      </c>
    </row>
    <row r="124" spans="1:4" x14ac:dyDescent="0.25">
      <c r="A124" s="22"/>
      <c r="B124" s="16" t="s">
        <v>96</v>
      </c>
      <c r="C124" s="32">
        <f>VLOOKUP($F$4,'Quadro Resumo'!$B$5:$T$14,9,FALSE)</f>
        <v>0.05</v>
      </c>
      <c r="D124" s="9">
        <f>(D138+D119+D120)/(1-$C$125)*C124</f>
        <v>198.97900148407035</v>
      </c>
    </row>
    <row r="125" spans="1:4" x14ac:dyDescent="0.25">
      <c r="A125" s="44"/>
      <c r="B125" s="34" t="s">
        <v>90</v>
      </c>
      <c r="C125" s="33">
        <f>SUM(C122:C124)</f>
        <v>8.6499999999999994E-2</v>
      </c>
      <c r="D125" s="13">
        <f>SUM(D122:D124)</f>
        <v>344.23367256744166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454.52002968140647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0.91349999999999998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1633.33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1654.76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81.13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24.94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3525.06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454.52002968140647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3979.58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3979.58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4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15918.32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159183.20000000001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5:D155"/>
    <mergeCell ref="A156:D156"/>
    <mergeCell ref="A157:D157"/>
    <mergeCell ref="B145:C145"/>
    <mergeCell ref="B146:C146"/>
    <mergeCell ref="B147:C147"/>
    <mergeCell ref="B148:C148"/>
    <mergeCell ref="A150:D150"/>
    <mergeCell ref="A154:D154"/>
    <mergeCell ref="B144:C144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40:C140"/>
    <mergeCell ref="A142:D142"/>
    <mergeCell ref="A143:D143"/>
    <mergeCell ref="A131:D131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27:D127"/>
    <mergeCell ref="A128:D128"/>
    <mergeCell ref="A129:B129"/>
    <mergeCell ref="A110:D110"/>
    <mergeCell ref="A84:B84"/>
    <mergeCell ref="A86:D86"/>
    <mergeCell ref="A88:D88"/>
    <mergeCell ref="A97:B97"/>
    <mergeCell ref="A99:D99"/>
    <mergeCell ref="A102:C102"/>
    <mergeCell ref="A104:D104"/>
    <mergeCell ref="B105:C105"/>
    <mergeCell ref="B106:C106"/>
    <mergeCell ref="B107:C107"/>
    <mergeCell ref="A108:C108"/>
    <mergeCell ref="A76:D76"/>
    <mergeCell ref="B63:C63"/>
    <mergeCell ref="B64:C64"/>
    <mergeCell ref="B65:C65"/>
    <mergeCell ref="B66:C66"/>
    <mergeCell ref="A67:C67"/>
    <mergeCell ref="A69:D69"/>
    <mergeCell ref="B70:C70"/>
    <mergeCell ref="B71:C71"/>
    <mergeCell ref="B72:C72"/>
    <mergeCell ref="B73:C73"/>
    <mergeCell ref="A74:C74"/>
    <mergeCell ref="B62:C62"/>
    <mergeCell ref="B33:C33"/>
    <mergeCell ref="A34:C34"/>
    <mergeCell ref="A36:D36"/>
    <mergeCell ref="A38:D38"/>
    <mergeCell ref="A44:B44"/>
    <mergeCell ref="A46:D46"/>
    <mergeCell ref="A56:B56"/>
    <mergeCell ref="A58:D58"/>
    <mergeCell ref="B59:C59"/>
    <mergeCell ref="B60:C60"/>
    <mergeCell ref="B61:C61"/>
    <mergeCell ref="B32:C32"/>
    <mergeCell ref="B21:C21"/>
    <mergeCell ref="B22:C22"/>
    <mergeCell ref="B23:C23"/>
    <mergeCell ref="B24:C24"/>
    <mergeCell ref="A25:C25"/>
    <mergeCell ref="A26:D26"/>
    <mergeCell ref="B27:C27"/>
    <mergeCell ref="B28:C28"/>
    <mergeCell ref="B29:C29"/>
    <mergeCell ref="B30:C30"/>
    <mergeCell ref="B31:C31"/>
    <mergeCell ref="D14:D15"/>
    <mergeCell ref="A15:B15"/>
    <mergeCell ref="A17:D17"/>
    <mergeCell ref="A18:C18"/>
    <mergeCell ref="A19:D19"/>
    <mergeCell ref="B20:C20"/>
    <mergeCell ref="B8:C8"/>
    <mergeCell ref="B9:C9"/>
    <mergeCell ref="B10:C10"/>
    <mergeCell ref="B11:C11"/>
    <mergeCell ref="A13:B13"/>
    <mergeCell ref="A14:B14"/>
    <mergeCell ref="C14:C15"/>
    <mergeCell ref="A7:D7"/>
    <mergeCell ref="A1:D1"/>
    <mergeCell ref="A2:D2"/>
    <mergeCell ref="A3:D3"/>
    <mergeCell ref="B4:D4"/>
    <mergeCell ref="B5:D5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opLeftCell="A68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5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10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Auxiliar de Serviços Gerais</v>
      </c>
      <c r="B14" s="114"/>
      <c r="C14" s="115" t="s">
        <v>105</v>
      </c>
      <c r="D14" s="117">
        <f>VLOOKUP($F$4,'Quadro Resumo'!$B$5:$T$14,3,FALSE)</f>
        <v>7</v>
      </c>
    </row>
    <row r="15" spans="1:6" x14ac:dyDescent="0.25">
      <c r="A15" s="114" t="str">
        <f>VLOOKUP($F$4,'Quadro Resumo'!$B$5:$T$14,4,FALSE)&amp;" - "&amp;"de segunda a sexta-feira, diurno, com intervalo"</f>
        <v>40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Auxiliar de Serviços Gerais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1541.27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Auxiliar de Serviços Gerais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1541.27</v>
      </c>
    </row>
    <row r="29" spans="1:4" x14ac:dyDescent="0.25">
      <c r="A29" s="45" t="s">
        <v>3</v>
      </c>
      <c r="B29" s="110" t="s">
        <v>112</v>
      </c>
      <c r="C29" s="110"/>
      <c r="D29" s="9"/>
    </row>
    <row r="30" spans="1:4" x14ac:dyDescent="0.25">
      <c r="A30" s="45" t="s">
        <v>4</v>
      </c>
      <c r="B30" s="110" t="s">
        <v>111</v>
      </c>
      <c r="C30" s="110"/>
      <c r="D30" s="9">
        <f>D28*0.2</f>
        <v>308.25400000000002</v>
      </c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1849.5239999999999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154.07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205.5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359.57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135.52000000000001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495.09000000000003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369.9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46.24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71.95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27.74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18.5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11.1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3.7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147.96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697.09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458.62739999999997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129.46668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1.8495239999999999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22.06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18.495239999999999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619.44000000000005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495.09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697.09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619.44000000000005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1811.62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9.1999999999999993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0.74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11.49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8.16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3.08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59.2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91.87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22.88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1.17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0.64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1.07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1.28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1.17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28.21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28.21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28.21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2.6154650000000002E-2</v>
      </c>
      <c r="D119" s="9">
        <f>D138*C119</f>
        <v>102.320129358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20.072200646790002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28.092480069663775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129.65760032152511</v>
      </c>
    </row>
    <row r="124" spans="1:4" x14ac:dyDescent="0.25">
      <c r="A124" s="22"/>
      <c r="B124" s="16" t="s">
        <v>96</v>
      </c>
      <c r="C124" s="32">
        <f>VLOOKUP($F$4,'Quadro Resumo'!$B$5:$T$14,9,FALSE)</f>
        <v>0.03</v>
      </c>
      <c r="D124" s="9">
        <f>(D138+D119+D120)/(1-$C$125)*C124</f>
        <v>129.65760032152511</v>
      </c>
    </row>
    <row r="125" spans="1:4" x14ac:dyDescent="0.25">
      <c r="A125" s="44"/>
      <c r="B125" s="34" t="s">
        <v>90</v>
      </c>
      <c r="C125" s="33">
        <f>SUM(C122:C124)</f>
        <v>6.6500000000000004E-2</v>
      </c>
      <c r="D125" s="13">
        <f>SUM(D122:D124)</f>
        <v>287.40768071271395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409.80001071750399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0.9335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1849.52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1811.62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91.87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28.21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3912.12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409.80001071750399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4321.92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4321.92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7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30253.440000000002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302534.40000000002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5:D155"/>
    <mergeCell ref="A156:D156"/>
    <mergeCell ref="A157:D157"/>
    <mergeCell ref="B145:C145"/>
    <mergeCell ref="B146:C146"/>
    <mergeCell ref="B147:C147"/>
    <mergeCell ref="B148:C148"/>
    <mergeCell ref="A150:D150"/>
    <mergeCell ref="A154:D154"/>
    <mergeCell ref="B144:C144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40:C140"/>
    <mergeCell ref="A142:D142"/>
    <mergeCell ref="A143:D143"/>
    <mergeCell ref="A131:D131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27:D127"/>
    <mergeCell ref="A128:D128"/>
    <mergeCell ref="A129:B129"/>
    <mergeCell ref="A110:D110"/>
    <mergeCell ref="A84:B84"/>
    <mergeCell ref="A86:D86"/>
    <mergeCell ref="A88:D88"/>
    <mergeCell ref="A97:B97"/>
    <mergeCell ref="A99:D99"/>
    <mergeCell ref="A102:C102"/>
    <mergeCell ref="A104:D104"/>
    <mergeCell ref="B105:C105"/>
    <mergeCell ref="B106:C106"/>
    <mergeCell ref="B107:C107"/>
    <mergeCell ref="A108:C108"/>
    <mergeCell ref="A76:D76"/>
    <mergeCell ref="B63:C63"/>
    <mergeCell ref="B64:C64"/>
    <mergeCell ref="B65:C65"/>
    <mergeCell ref="B66:C66"/>
    <mergeCell ref="A67:C67"/>
    <mergeCell ref="A69:D69"/>
    <mergeCell ref="B70:C70"/>
    <mergeCell ref="B71:C71"/>
    <mergeCell ref="B72:C72"/>
    <mergeCell ref="B73:C73"/>
    <mergeCell ref="A74:C74"/>
    <mergeCell ref="B62:C62"/>
    <mergeCell ref="B33:C33"/>
    <mergeCell ref="A34:C34"/>
    <mergeCell ref="A36:D36"/>
    <mergeCell ref="A38:D38"/>
    <mergeCell ref="A44:B44"/>
    <mergeCell ref="A46:D46"/>
    <mergeCell ref="A56:B56"/>
    <mergeCell ref="A58:D58"/>
    <mergeCell ref="B59:C59"/>
    <mergeCell ref="B60:C60"/>
    <mergeCell ref="B61:C61"/>
    <mergeCell ref="B32:C32"/>
    <mergeCell ref="B21:C21"/>
    <mergeCell ref="B22:C22"/>
    <mergeCell ref="B23:C23"/>
    <mergeCell ref="B24:C24"/>
    <mergeCell ref="A25:C25"/>
    <mergeCell ref="A26:D26"/>
    <mergeCell ref="B27:C27"/>
    <mergeCell ref="B28:C28"/>
    <mergeCell ref="B29:C29"/>
    <mergeCell ref="B30:C30"/>
    <mergeCell ref="B31:C31"/>
    <mergeCell ref="D14:D15"/>
    <mergeCell ref="A15:B15"/>
    <mergeCell ref="A17:D17"/>
    <mergeCell ref="A18:C18"/>
    <mergeCell ref="A19:D19"/>
    <mergeCell ref="B20:C20"/>
    <mergeCell ref="B8:C8"/>
    <mergeCell ref="B9:C9"/>
    <mergeCell ref="B10:C10"/>
    <mergeCell ref="B11:C11"/>
    <mergeCell ref="A13:B13"/>
    <mergeCell ref="A14:B14"/>
    <mergeCell ref="C14:C15"/>
    <mergeCell ref="A7:D7"/>
    <mergeCell ref="A1:D1"/>
    <mergeCell ref="A2:D2"/>
    <mergeCell ref="A3:D3"/>
    <mergeCell ref="B4:D4"/>
    <mergeCell ref="B5:D5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opLeftCell="A77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6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12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Trabalhador Braçal</v>
      </c>
      <c r="B14" s="114"/>
      <c r="C14" s="115" t="s">
        <v>105</v>
      </c>
      <c r="D14" s="117">
        <f>VLOOKUP($F$4,'Quadro Resumo'!$B$5:$T$14,3,FALSE)</f>
        <v>10</v>
      </c>
    </row>
    <row r="15" spans="1:6" x14ac:dyDescent="0.25">
      <c r="A15" s="114" t="str">
        <f>VLOOKUP($F$4,'Quadro Resumo'!$B$5:$T$14,4,FALSE)&amp;" - "&amp;"de segunda a sexta-feira, diurno, com intervalo"</f>
        <v>40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Trabalhador Braçal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1541.27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Trabalhador Braçal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1541.27</v>
      </c>
    </row>
    <row r="29" spans="1:4" x14ac:dyDescent="0.25">
      <c r="A29" s="45" t="s">
        <v>3</v>
      </c>
      <c r="B29" s="110" t="s">
        <v>112</v>
      </c>
      <c r="C29" s="110"/>
      <c r="D29" s="9"/>
    </row>
    <row r="30" spans="1:4" x14ac:dyDescent="0.25">
      <c r="A30" s="45" t="s">
        <v>4</v>
      </c>
      <c r="B30" s="110" t="s">
        <v>111</v>
      </c>
      <c r="C30" s="110"/>
      <c r="D30" s="9">
        <f>D28*0.2</f>
        <v>308.25400000000002</v>
      </c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1849.5239999999999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154.07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205.5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359.57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135.52000000000001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495.09000000000003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369.9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46.24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71.95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27.74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18.5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11.1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3.7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147.96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697.09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458.62739999999997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129.46668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1.8495239999999999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22.06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18.495239999999999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619.44000000000005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495.09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697.09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619.44000000000005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1811.62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9.1999999999999993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0.74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11.49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8.16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3.08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59.2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91.87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22.88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1.17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0.64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1.07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1.28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1.17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28.21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28.21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28.21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2.6153870629830347E-2</v>
      </c>
      <c r="D119" s="9">
        <f>D138*C119</f>
        <v>102.31708036837189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20.07218540184186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28.707509827593203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132.49619920427631</v>
      </c>
    </row>
    <row r="124" spans="1:4" x14ac:dyDescent="0.25">
      <c r="A124" s="22"/>
      <c r="B124" s="16" t="s">
        <v>96</v>
      </c>
      <c r="C124" s="32">
        <f>VLOOKUP($F$4,'Quadro Resumo'!$B$5:$T$14,9,FALSE)</f>
        <v>0.05</v>
      </c>
      <c r="D124" s="9">
        <f>(D138+D119+D120)/(1-$C$125)*C124</f>
        <v>220.8269986737939</v>
      </c>
    </row>
    <row r="125" spans="1:4" x14ac:dyDescent="0.25">
      <c r="A125" s="44"/>
      <c r="B125" s="34" t="s">
        <v>90</v>
      </c>
      <c r="C125" s="33">
        <f>SUM(C122:C124)</f>
        <v>8.6499999999999994E-2</v>
      </c>
      <c r="D125" s="13">
        <f>SUM(D122:D124)</f>
        <v>382.03070770566342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504.41997347587716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0.91349999999999998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1849.52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1811.62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91.87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28.21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3912.12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504.41997347587716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4416.54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4416.54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10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44165.4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529984.80000000005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5:D155"/>
    <mergeCell ref="A156:D156"/>
    <mergeCell ref="A157:D157"/>
    <mergeCell ref="B145:C145"/>
    <mergeCell ref="B146:C146"/>
    <mergeCell ref="B147:C147"/>
    <mergeCell ref="B148:C148"/>
    <mergeCell ref="A150:D150"/>
    <mergeCell ref="A154:D154"/>
    <mergeCell ref="B144:C144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40:C140"/>
    <mergeCell ref="A142:D142"/>
    <mergeCell ref="A143:D143"/>
    <mergeCell ref="A131:D131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27:D127"/>
    <mergeCell ref="A128:D128"/>
    <mergeCell ref="A129:B129"/>
    <mergeCell ref="A110:D110"/>
    <mergeCell ref="A84:B84"/>
    <mergeCell ref="A86:D86"/>
    <mergeCell ref="A88:D88"/>
    <mergeCell ref="A97:B97"/>
    <mergeCell ref="A99:D99"/>
    <mergeCell ref="A102:C102"/>
    <mergeCell ref="A104:D104"/>
    <mergeCell ref="B105:C105"/>
    <mergeCell ref="B106:C106"/>
    <mergeCell ref="B107:C107"/>
    <mergeCell ref="A108:C108"/>
    <mergeCell ref="A76:D76"/>
    <mergeCell ref="B63:C63"/>
    <mergeCell ref="B64:C64"/>
    <mergeCell ref="B65:C65"/>
    <mergeCell ref="B66:C66"/>
    <mergeCell ref="A67:C67"/>
    <mergeCell ref="A69:D69"/>
    <mergeCell ref="B70:C70"/>
    <mergeCell ref="B71:C71"/>
    <mergeCell ref="B72:C72"/>
    <mergeCell ref="B73:C73"/>
    <mergeCell ref="A74:C74"/>
    <mergeCell ref="B62:C62"/>
    <mergeCell ref="B33:C33"/>
    <mergeCell ref="A34:C34"/>
    <mergeCell ref="A36:D36"/>
    <mergeCell ref="A38:D38"/>
    <mergeCell ref="A44:B44"/>
    <mergeCell ref="A46:D46"/>
    <mergeCell ref="A56:B56"/>
    <mergeCell ref="A58:D58"/>
    <mergeCell ref="B59:C59"/>
    <mergeCell ref="B60:C60"/>
    <mergeCell ref="B61:C61"/>
    <mergeCell ref="B32:C32"/>
    <mergeCell ref="B21:C21"/>
    <mergeCell ref="B22:C22"/>
    <mergeCell ref="B23:C23"/>
    <mergeCell ref="B24:C24"/>
    <mergeCell ref="A25:C25"/>
    <mergeCell ref="A26:D26"/>
    <mergeCell ref="B27:C27"/>
    <mergeCell ref="B28:C28"/>
    <mergeCell ref="B29:C29"/>
    <mergeCell ref="B30:C30"/>
    <mergeCell ref="B31:C31"/>
    <mergeCell ref="D14:D15"/>
    <mergeCell ref="A15:B15"/>
    <mergeCell ref="A17:D17"/>
    <mergeCell ref="A18:C18"/>
    <mergeCell ref="A19:D19"/>
    <mergeCell ref="B20:C20"/>
    <mergeCell ref="B8:C8"/>
    <mergeCell ref="B9:C9"/>
    <mergeCell ref="B10:C10"/>
    <mergeCell ref="B11:C11"/>
    <mergeCell ref="A13:B13"/>
    <mergeCell ref="A14:B14"/>
    <mergeCell ref="C14:C15"/>
    <mergeCell ref="A7:D7"/>
    <mergeCell ref="A1:D1"/>
    <mergeCell ref="A2:D2"/>
    <mergeCell ref="A3:D3"/>
    <mergeCell ref="B4:D4"/>
    <mergeCell ref="B5:D5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opLeftCell="A80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7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12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Zelador</v>
      </c>
      <c r="B14" s="114"/>
      <c r="C14" s="115" t="s">
        <v>105</v>
      </c>
      <c r="D14" s="117">
        <f>VLOOKUP($F$4,'Quadro Resumo'!$B$5:$T$14,3,FALSE)</f>
        <v>1</v>
      </c>
    </row>
    <row r="15" spans="1:6" x14ac:dyDescent="0.25">
      <c r="A15" s="114" t="str">
        <f>VLOOKUP($F$4,'Quadro Resumo'!$B$5:$T$14,4,FALSE)&amp;" - "&amp;"de segunda a sexta-feira, diurno, com intervalo"</f>
        <v>40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Zelador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1739.01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Zelador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1739.01</v>
      </c>
    </row>
    <row r="29" spans="1:4" x14ac:dyDescent="0.25">
      <c r="A29" s="45" t="s">
        <v>3</v>
      </c>
      <c r="B29" s="110" t="s">
        <v>112</v>
      </c>
      <c r="C29" s="110"/>
      <c r="D29" s="9">
        <f>D28*0.3</f>
        <v>521.70299999999997</v>
      </c>
    </row>
    <row r="30" spans="1:4" x14ac:dyDescent="0.25">
      <c r="A30" s="45" t="s">
        <v>4</v>
      </c>
      <c r="B30" s="110" t="s">
        <v>111</v>
      </c>
      <c r="C30" s="110"/>
      <c r="D30" s="9"/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2260.7129999999997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188.32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251.19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439.51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165.65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605.16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452.14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56.52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87.94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33.909999999999997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22.61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13.56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4.5199999999999996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180.86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852.06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458.62739999999997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158.24991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2.260713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22.06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17.3901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647.53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605.16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852.06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647.53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2104.75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11.25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0.9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14.04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9.98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3.76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72.37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112.3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27.91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1.43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0.78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1.31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1.56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1.43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34.42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34.42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34.42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2.6156150809281499E-2</v>
      </c>
      <c r="D119" s="9">
        <f>D138*C119</f>
        <v>121.44510069955874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23.822625503497793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34.071439759518192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157.25279889008397</v>
      </c>
    </row>
    <row r="124" spans="1:4" x14ac:dyDescent="0.25">
      <c r="A124" s="22"/>
      <c r="B124" s="16" t="s">
        <v>96</v>
      </c>
      <c r="C124" s="32">
        <f>VLOOKUP($F$4,'Quadro Resumo'!$B$5:$T$14,9,FALSE)</f>
        <v>0.05</v>
      </c>
      <c r="D124" s="9">
        <f>(D138+D119+D120)/(1-$C$125)*C124</f>
        <v>262.08799815013998</v>
      </c>
    </row>
    <row r="125" spans="1:4" x14ac:dyDescent="0.25">
      <c r="A125" s="44"/>
      <c r="B125" s="34" t="s">
        <v>90</v>
      </c>
      <c r="C125" s="33">
        <f>SUM(C122:C124)</f>
        <v>8.6499999999999994E-2</v>
      </c>
      <c r="D125" s="13">
        <f>SUM(D122:D124)</f>
        <v>453.41223679974212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598.67996300279867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0.91349999999999998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2260.71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2104.75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112.3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34.42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4643.08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598.67996300279867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5241.76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5241.76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1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5241.76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62901.120000000003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5:D155"/>
    <mergeCell ref="A156:D156"/>
    <mergeCell ref="A157:D157"/>
    <mergeCell ref="B145:C145"/>
    <mergeCell ref="B146:C146"/>
    <mergeCell ref="B147:C147"/>
    <mergeCell ref="B148:C148"/>
    <mergeCell ref="A150:D150"/>
    <mergeCell ref="A154:D154"/>
    <mergeCell ref="B144:C144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40:C140"/>
    <mergeCell ref="A142:D142"/>
    <mergeCell ref="A143:D143"/>
    <mergeCell ref="A131:D131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27:D127"/>
    <mergeCell ref="A128:D128"/>
    <mergeCell ref="A129:B129"/>
    <mergeCell ref="A110:D110"/>
    <mergeCell ref="A84:B84"/>
    <mergeCell ref="A86:D86"/>
    <mergeCell ref="A88:D88"/>
    <mergeCell ref="A97:B97"/>
    <mergeCell ref="A99:D99"/>
    <mergeCell ref="A102:C102"/>
    <mergeCell ref="A104:D104"/>
    <mergeCell ref="B105:C105"/>
    <mergeCell ref="B106:C106"/>
    <mergeCell ref="B107:C107"/>
    <mergeCell ref="A108:C108"/>
    <mergeCell ref="A76:D76"/>
    <mergeCell ref="B63:C63"/>
    <mergeCell ref="B64:C64"/>
    <mergeCell ref="B65:C65"/>
    <mergeCell ref="B66:C66"/>
    <mergeCell ref="A67:C67"/>
    <mergeCell ref="A69:D69"/>
    <mergeCell ref="B70:C70"/>
    <mergeCell ref="B71:C71"/>
    <mergeCell ref="B72:C72"/>
    <mergeCell ref="B73:C73"/>
    <mergeCell ref="A74:C74"/>
    <mergeCell ref="B62:C62"/>
    <mergeCell ref="B33:C33"/>
    <mergeCell ref="A34:C34"/>
    <mergeCell ref="A36:D36"/>
    <mergeCell ref="A38:D38"/>
    <mergeCell ref="A44:B44"/>
    <mergeCell ref="A46:D46"/>
    <mergeCell ref="A56:B56"/>
    <mergeCell ref="A58:D58"/>
    <mergeCell ref="B59:C59"/>
    <mergeCell ref="B60:C60"/>
    <mergeCell ref="B61:C61"/>
    <mergeCell ref="B32:C32"/>
    <mergeCell ref="B21:C21"/>
    <mergeCell ref="B22:C22"/>
    <mergeCell ref="B23:C23"/>
    <mergeCell ref="B24:C24"/>
    <mergeCell ref="A25:C25"/>
    <mergeCell ref="A26:D26"/>
    <mergeCell ref="B27:C27"/>
    <mergeCell ref="B28:C28"/>
    <mergeCell ref="B29:C29"/>
    <mergeCell ref="B30:C30"/>
    <mergeCell ref="B31:C31"/>
    <mergeCell ref="D14:D15"/>
    <mergeCell ref="A15:B15"/>
    <mergeCell ref="A17:D17"/>
    <mergeCell ref="A18:C18"/>
    <mergeCell ref="A19:D19"/>
    <mergeCell ref="B20:C20"/>
    <mergeCell ref="B8:C8"/>
    <mergeCell ref="B9:C9"/>
    <mergeCell ref="B10:C10"/>
    <mergeCell ref="B11:C11"/>
    <mergeCell ref="A13:B13"/>
    <mergeCell ref="A14:B14"/>
    <mergeCell ref="C14:C15"/>
    <mergeCell ref="A7:D7"/>
    <mergeCell ref="A1:D1"/>
    <mergeCell ref="A2:D2"/>
    <mergeCell ref="A3:D3"/>
    <mergeCell ref="B4:D4"/>
    <mergeCell ref="B5:D5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opLeftCell="A82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8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12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Recepcionista</v>
      </c>
      <c r="B14" s="114"/>
      <c r="C14" s="115" t="s">
        <v>105</v>
      </c>
      <c r="D14" s="117">
        <f>VLOOKUP($F$4,'Quadro Resumo'!$B$5:$T$14,3,FALSE)</f>
        <v>3</v>
      </c>
    </row>
    <row r="15" spans="1:6" x14ac:dyDescent="0.25">
      <c r="A15" s="114" t="str">
        <f>VLOOKUP($F$4,'Quadro Resumo'!$B$5:$T$14,4,FALSE)&amp;" - "&amp;"de segunda a sexta-feira, diurno, com intervalo"</f>
        <v>40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Recepcionista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1633.33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Recepcionista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1633.33</v>
      </c>
    </row>
    <row r="29" spans="1:4" x14ac:dyDescent="0.25">
      <c r="A29" s="45" t="s">
        <v>3</v>
      </c>
      <c r="B29" s="110" t="s">
        <v>112</v>
      </c>
      <c r="C29" s="110"/>
      <c r="D29" s="9"/>
    </row>
    <row r="30" spans="1:4" x14ac:dyDescent="0.25">
      <c r="A30" s="45" t="s">
        <v>4</v>
      </c>
      <c r="B30" s="110" t="s">
        <v>111</v>
      </c>
      <c r="C30" s="110"/>
      <c r="D30" s="9"/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1633.33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136.06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181.48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317.53999999999996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119.68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437.21999999999997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326.67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40.83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63.54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24.5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16.329999999999998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9.8000000000000007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3.27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130.66999999999999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615.61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458.62739999999997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114.3331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1.6333299999999999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22.06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16.333300000000001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601.92999999999995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437.22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615.61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601.92999999999995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1654.76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8.1300000000000008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0.65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10.14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7.21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2.72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52.28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81.13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20.21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1.04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0.56999999999999995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0.95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1.1299999999999999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1.04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24.94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24.94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24.94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2.615559928903783E-2</v>
      </c>
      <c r="D119" s="9">
        <f>D138*C119</f>
        <v>92.200056829815694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18.086300284149079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25.867270192929144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119.38740089044219</v>
      </c>
    </row>
    <row r="124" spans="1:4" x14ac:dyDescent="0.25">
      <c r="A124" s="22"/>
      <c r="B124" s="16" t="s">
        <v>96</v>
      </c>
      <c r="C124" s="32">
        <f>VLOOKUP($F$4,'Quadro Resumo'!$B$5:$T$14,9,FALSE)</f>
        <v>0.05</v>
      </c>
      <c r="D124" s="9">
        <f>(D138+D119+D120)/(1-$C$125)*C124</f>
        <v>198.97900148407035</v>
      </c>
    </row>
    <row r="125" spans="1:4" x14ac:dyDescent="0.25">
      <c r="A125" s="44"/>
      <c r="B125" s="34" t="s">
        <v>90</v>
      </c>
      <c r="C125" s="33">
        <f>SUM(C122:C124)</f>
        <v>8.6499999999999994E-2</v>
      </c>
      <c r="D125" s="13">
        <f>SUM(D122:D124)</f>
        <v>344.23367256744166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454.52002968140647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0.91349999999999998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1633.33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1654.76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81.13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24.94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3525.06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454.52002968140647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3979.58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3979.58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3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11938.74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143264.88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5:D155"/>
    <mergeCell ref="A156:D156"/>
    <mergeCell ref="A157:D157"/>
    <mergeCell ref="B145:C145"/>
    <mergeCell ref="B146:C146"/>
    <mergeCell ref="B147:C147"/>
    <mergeCell ref="B148:C148"/>
    <mergeCell ref="A150:D150"/>
    <mergeCell ref="A154:D154"/>
    <mergeCell ref="B144:C144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40:C140"/>
    <mergeCell ref="A142:D142"/>
    <mergeCell ref="A143:D143"/>
    <mergeCell ref="A131:D131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27:D127"/>
    <mergeCell ref="A128:D128"/>
    <mergeCell ref="A129:B129"/>
    <mergeCell ref="A110:D110"/>
    <mergeCell ref="A84:B84"/>
    <mergeCell ref="A86:D86"/>
    <mergeCell ref="A88:D88"/>
    <mergeCell ref="A97:B97"/>
    <mergeCell ref="A99:D99"/>
    <mergeCell ref="A102:C102"/>
    <mergeCell ref="A104:D104"/>
    <mergeCell ref="B105:C105"/>
    <mergeCell ref="B106:C106"/>
    <mergeCell ref="B107:C107"/>
    <mergeCell ref="A108:C108"/>
    <mergeCell ref="A76:D76"/>
    <mergeCell ref="B63:C63"/>
    <mergeCell ref="B64:C64"/>
    <mergeCell ref="B65:C65"/>
    <mergeCell ref="B66:C66"/>
    <mergeCell ref="A67:C67"/>
    <mergeCell ref="A69:D69"/>
    <mergeCell ref="B70:C70"/>
    <mergeCell ref="B71:C71"/>
    <mergeCell ref="B72:C72"/>
    <mergeCell ref="B73:C73"/>
    <mergeCell ref="A74:C74"/>
    <mergeCell ref="B62:C62"/>
    <mergeCell ref="B33:C33"/>
    <mergeCell ref="A34:C34"/>
    <mergeCell ref="A36:D36"/>
    <mergeCell ref="A38:D38"/>
    <mergeCell ref="A44:B44"/>
    <mergeCell ref="A46:D46"/>
    <mergeCell ref="A56:B56"/>
    <mergeCell ref="A58:D58"/>
    <mergeCell ref="B59:C59"/>
    <mergeCell ref="B60:C60"/>
    <mergeCell ref="B61:C61"/>
    <mergeCell ref="B32:C32"/>
    <mergeCell ref="B21:C21"/>
    <mergeCell ref="B22:C22"/>
    <mergeCell ref="B23:C23"/>
    <mergeCell ref="B24:C24"/>
    <mergeCell ref="A25:C25"/>
    <mergeCell ref="A26:D26"/>
    <mergeCell ref="B27:C27"/>
    <mergeCell ref="B28:C28"/>
    <mergeCell ref="B29:C29"/>
    <mergeCell ref="B30:C30"/>
    <mergeCell ref="B31:C31"/>
    <mergeCell ref="D14:D15"/>
    <mergeCell ref="A15:B15"/>
    <mergeCell ref="A17:D17"/>
    <mergeCell ref="A18:C18"/>
    <mergeCell ref="A19:D19"/>
    <mergeCell ref="B20:C20"/>
    <mergeCell ref="B8:C8"/>
    <mergeCell ref="B9:C9"/>
    <mergeCell ref="B10:C10"/>
    <mergeCell ref="B11:C11"/>
    <mergeCell ref="A13:B13"/>
    <mergeCell ref="A14:B14"/>
    <mergeCell ref="C14:C15"/>
    <mergeCell ref="A7:D7"/>
    <mergeCell ref="A1:D1"/>
    <mergeCell ref="A2:D2"/>
    <mergeCell ref="A3:D3"/>
    <mergeCell ref="B4:D4"/>
    <mergeCell ref="B5:D5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opLeftCell="A71" zoomScale="80" zoomScaleNormal="80" zoomScaleSheetLayoutView="110" workbookViewId="0">
      <selection activeCell="D148" sqref="D148"/>
    </sheetView>
  </sheetViews>
  <sheetFormatPr defaultColWidth="9.140625" defaultRowHeight="12.75" x14ac:dyDescent="0.25"/>
  <cols>
    <col min="1" max="1" width="6" style="48" customWidth="1"/>
    <col min="2" max="2" width="53" style="2" customWidth="1"/>
    <col min="3" max="3" width="14.7109375" style="2" customWidth="1"/>
    <col min="4" max="4" width="17.42578125" style="2" customWidth="1"/>
    <col min="5" max="5" width="2.7109375" style="2" customWidth="1"/>
    <col min="6" max="6" width="13.5703125" style="2" hidden="1" customWidth="1"/>
    <col min="7" max="7" width="13.7109375" style="2" customWidth="1"/>
    <col min="8" max="10" width="9.140625" style="2"/>
    <col min="11" max="11" width="11" style="2" customWidth="1"/>
    <col min="12" max="16384" width="9.140625" style="2"/>
  </cols>
  <sheetData>
    <row r="1" spans="1:6" x14ac:dyDescent="0.25">
      <c r="A1" s="119" t="s">
        <v>106</v>
      </c>
      <c r="B1" s="119"/>
      <c r="C1" s="119"/>
      <c r="D1" s="119"/>
    </row>
    <row r="2" spans="1:6" x14ac:dyDescent="0.25">
      <c r="A2" s="119"/>
      <c r="B2" s="119"/>
      <c r="C2" s="119"/>
      <c r="D2" s="119"/>
    </row>
    <row r="3" spans="1:6" ht="12" customHeight="1" x14ac:dyDescent="0.25">
      <c r="A3" s="120" t="s">
        <v>130</v>
      </c>
      <c r="B3" s="120"/>
      <c r="C3" s="120"/>
      <c r="D3" s="120"/>
      <c r="F3" s="53" t="s">
        <v>124</v>
      </c>
    </row>
    <row r="4" spans="1:6" ht="12" customHeight="1" x14ac:dyDescent="0.25">
      <c r="A4" s="52" t="s">
        <v>118</v>
      </c>
      <c r="B4" s="125">
        <v>45670</v>
      </c>
      <c r="C4" s="126"/>
      <c r="D4" s="127"/>
      <c r="F4" s="56">
        <v>9</v>
      </c>
    </row>
    <row r="5" spans="1:6" ht="12" customHeight="1" x14ac:dyDescent="0.25">
      <c r="A5" s="52" t="s">
        <v>119</v>
      </c>
      <c r="B5" s="128">
        <v>0.375</v>
      </c>
      <c r="C5" s="126"/>
      <c r="D5" s="127"/>
    </row>
    <row r="6" spans="1:6" x14ac:dyDescent="0.25">
      <c r="A6" s="40"/>
      <c r="B6" s="57"/>
      <c r="C6" s="3"/>
    </row>
    <row r="7" spans="1:6" x14ac:dyDescent="0.25">
      <c r="A7" s="121" t="s">
        <v>0</v>
      </c>
      <c r="B7" s="122"/>
      <c r="C7" s="122"/>
      <c r="D7" s="123"/>
    </row>
    <row r="8" spans="1:6" x14ac:dyDescent="0.25">
      <c r="A8" s="47" t="s">
        <v>1</v>
      </c>
      <c r="B8" s="124" t="s">
        <v>2</v>
      </c>
      <c r="C8" s="124"/>
      <c r="D8" s="4">
        <f>B4</f>
        <v>45670</v>
      </c>
    </row>
    <row r="9" spans="1:6" ht="25.5" customHeight="1" x14ac:dyDescent="0.25">
      <c r="A9" s="47" t="s">
        <v>3</v>
      </c>
      <c r="B9" s="124" t="s">
        <v>114</v>
      </c>
      <c r="C9" s="124"/>
      <c r="D9" s="45" t="s">
        <v>131</v>
      </c>
    </row>
    <row r="10" spans="1:6" x14ac:dyDescent="0.25">
      <c r="A10" s="47" t="s">
        <v>4</v>
      </c>
      <c r="B10" s="124" t="s">
        <v>5</v>
      </c>
      <c r="C10" s="124"/>
      <c r="D10" s="5" t="s">
        <v>132</v>
      </c>
    </row>
    <row r="11" spans="1:6" x14ac:dyDescent="0.25">
      <c r="A11" s="47" t="s">
        <v>6</v>
      </c>
      <c r="B11" s="124" t="s">
        <v>7</v>
      </c>
      <c r="C11" s="124"/>
      <c r="D11" s="6">
        <f>VLOOKUP($F$4,'Quadro Resumo'!$B$5:$T$14,5,FALSE)</f>
        <v>12</v>
      </c>
    </row>
    <row r="12" spans="1:6" x14ac:dyDescent="0.25">
      <c r="A12" s="3"/>
      <c r="B12" s="7"/>
      <c r="C12" s="3"/>
    </row>
    <row r="13" spans="1:6" ht="25.5" x14ac:dyDescent="0.25">
      <c r="A13" s="107" t="s">
        <v>35</v>
      </c>
      <c r="B13" s="107"/>
      <c r="C13" s="45" t="s">
        <v>100</v>
      </c>
      <c r="D13" s="45" t="s">
        <v>113</v>
      </c>
    </row>
    <row r="14" spans="1:6" ht="25.5" customHeight="1" x14ac:dyDescent="0.25">
      <c r="A14" s="114" t="str">
        <f>VLOOKUP($F$4,'Quadro Resumo'!$B$5:$T$14,2,FALSE)</f>
        <v>Auxiliar de Serviços Gerais</v>
      </c>
      <c r="B14" s="114"/>
      <c r="C14" s="115" t="s">
        <v>105</v>
      </c>
      <c r="D14" s="117">
        <f>VLOOKUP($F$4,'Quadro Resumo'!$B$5:$T$14,3,FALSE)</f>
        <v>1</v>
      </c>
    </row>
    <row r="15" spans="1:6" x14ac:dyDescent="0.25">
      <c r="A15" s="114" t="str">
        <f>VLOOKUP($F$4,'Quadro Resumo'!$B$5:$T$14,4,FALSE)&amp;" - "&amp;"de segunda a sexta-feira, diurno, com intervalo"</f>
        <v>40 horas - de segunda a sexta-feira, diurno, com intervalo</v>
      </c>
      <c r="B15" s="114"/>
      <c r="C15" s="116"/>
      <c r="D15" s="118"/>
    </row>
    <row r="16" spans="1:6" x14ac:dyDescent="0.25">
      <c r="A16" s="3"/>
      <c r="B16" s="7"/>
      <c r="C16" s="3"/>
    </row>
    <row r="17" spans="1:4" x14ac:dyDescent="0.25">
      <c r="A17" s="99" t="s">
        <v>101</v>
      </c>
      <c r="B17" s="99"/>
      <c r="C17" s="99"/>
      <c r="D17" s="99"/>
    </row>
    <row r="18" spans="1:4" x14ac:dyDescent="0.25">
      <c r="A18" s="112"/>
      <c r="B18" s="112"/>
      <c r="C18" s="112"/>
    </row>
    <row r="19" spans="1:4" x14ac:dyDescent="0.25">
      <c r="A19" s="99" t="s">
        <v>8</v>
      </c>
      <c r="B19" s="99"/>
      <c r="C19" s="99"/>
      <c r="D19" s="99"/>
    </row>
    <row r="20" spans="1:4" ht="25.5" customHeight="1" x14ac:dyDescent="0.25">
      <c r="A20" s="47">
        <v>1</v>
      </c>
      <c r="B20" s="113" t="s">
        <v>9</v>
      </c>
      <c r="C20" s="113"/>
      <c r="D20" s="61" t="str">
        <f>A14</f>
        <v>Auxiliar de Serviços Gerais</v>
      </c>
    </row>
    <row r="21" spans="1:4" hidden="1" x14ac:dyDescent="0.25">
      <c r="A21" s="47">
        <v>2</v>
      </c>
      <c r="B21" s="113" t="s">
        <v>36</v>
      </c>
      <c r="C21" s="113"/>
      <c r="D21" s="8"/>
    </row>
    <row r="22" spans="1:4" x14ac:dyDescent="0.25">
      <c r="A22" s="47">
        <v>3</v>
      </c>
      <c r="B22" s="110" t="s">
        <v>93</v>
      </c>
      <c r="C22" s="110"/>
      <c r="D22" s="9">
        <f>VLOOKUP($F$4,'Quadro Resumo'!$B$5:$T$14,6,FALSE)</f>
        <v>1541.27</v>
      </c>
    </row>
    <row r="23" spans="1:4" ht="25.5" customHeight="1" x14ac:dyDescent="0.25">
      <c r="A23" s="47">
        <v>4</v>
      </c>
      <c r="B23" s="113" t="s">
        <v>10</v>
      </c>
      <c r="C23" s="113"/>
      <c r="D23" s="22" t="str">
        <f>D20</f>
        <v>Auxiliar de Serviços Gerais</v>
      </c>
    </row>
    <row r="24" spans="1:4" x14ac:dyDescent="0.25">
      <c r="A24" s="47">
        <v>5</v>
      </c>
      <c r="B24" s="113" t="s">
        <v>11</v>
      </c>
      <c r="C24" s="113"/>
      <c r="D24" s="10">
        <v>45292</v>
      </c>
    </row>
    <row r="25" spans="1:4" x14ac:dyDescent="0.25">
      <c r="A25" s="112"/>
      <c r="B25" s="112"/>
      <c r="C25" s="112"/>
      <c r="D25" s="11"/>
    </row>
    <row r="26" spans="1:4" x14ac:dyDescent="0.25">
      <c r="A26" s="99" t="s">
        <v>12</v>
      </c>
      <c r="B26" s="99"/>
      <c r="C26" s="99"/>
      <c r="D26" s="99"/>
    </row>
    <row r="27" spans="1:4" x14ac:dyDescent="0.25">
      <c r="A27" s="12">
        <v>1</v>
      </c>
      <c r="B27" s="107" t="s">
        <v>13</v>
      </c>
      <c r="C27" s="107"/>
      <c r="D27" s="12" t="s">
        <v>14</v>
      </c>
    </row>
    <row r="28" spans="1:4" x14ac:dyDescent="0.25">
      <c r="A28" s="45" t="s">
        <v>1</v>
      </c>
      <c r="B28" s="110" t="s">
        <v>15</v>
      </c>
      <c r="C28" s="110"/>
      <c r="D28" s="9">
        <f>D22</f>
        <v>1541.27</v>
      </c>
    </row>
    <row r="29" spans="1:4" x14ac:dyDescent="0.25">
      <c r="A29" s="45" t="s">
        <v>3</v>
      </c>
      <c r="B29" s="110" t="s">
        <v>112</v>
      </c>
      <c r="C29" s="110"/>
      <c r="D29" s="9"/>
    </row>
    <row r="30" spans="1:4" x14ac:dyDescent="0.25">
      <c r="A30" s="45" t="s">
        <v>4</v>
      </c>
      <c r="B30" s="110" t="s">
        <v>111</v>
      </c>
      <c r="C30" s="110"/>
      <c r="D30" s="9">
        <f>D28*0.2</f>
        <v>308.25400000000002</v>
      </c>
    </row>
    <row r="31" spans="1:4" x14ac:dyDescent="0.25">
      <c r="A31" s="45" t="s">
        <v>6</v>
      </c>
      <c r="B31" s="110" t="s">
        <v>16</v>
      </c>
      <c r="C31" s="110"/>
      <c r="D31" s="9"/>
    </row>
    <row r="32" spans="1:4" x14ac:dyDescent="0.25">
      <c r="A32" s="45" t="s">
        <v>17</v>
      </c>
      <c r="B32" s="110" t="s">
        <v>37</v>
      </c>
      <c r="C32" s="110"/>
      <c r="D32" s="9"/>
    </row>
    <row r="33" spans="1:13" x14ac:dyDescent="0.25">
      <c r="A33" s="45" t="s">
        <v>18</v>
      </c>
      <c r="B33" s="110" t="s">
        <v>94</v>
      </c>
      <c r="C33" s="110"/>
      <c r="D33" s="9"/>
    </row>
    <row r="34" spans="1:13" x14ac:dyDescent="0.25">
      <c r="A34" s="107" t="s">
        <v>21</v>
      </c>
      <c r="B34" s="107"/>
      <c r="C34" s="107"/>
      <c r="D34" s="13">
        <f>SUM(D28:D33)</f>
        <v>1849.5239999999999</v>
      </c>
    </row>
    <row r="35" spans="1:13" x14ac:dyDescent="0.25">
      <c r="A35" s="3"/>
      <c r="B35" s="7"/>
      <c r="C35" s="3"/>
      <c r="D35" s="14"/>
    </row>
    <row r="36" spans="1:13" x14ac:dyDescent="0.25">
      <c r="A36" s="111" t="s">
        <v>38</v>
      </c>
      <c r="B36" s="111"/>
      <c r="C36" s="111"/>
      <c r="D36" s="111"/>
    </row>
    <row r="37" spans="1:13" x14ac:dyDescent="0.25">
      <c r="A37" s="49"/>
      <c r="B37" s="15"/>
      <c r="C37" s="15"/>
      <c r="D37" s="14"/>
    </row>
    <row r="38" spans="1:13" x14ac:dyDescent="0.25">
      <c r="A38" s="99" t="s">
        <v>39</v>
      </c>
      <c r="B38" s="99"/>
      <c r="C38" s="99"/>
      <c r="D38" s="99"/>
    </row>
    <row r="39" spans="1:13" x14ac:dyDescent="0.25">
      <c r="A39" s="47" t="s">
        <v>40</v>
      </c>
      <c r="B39" s="47" t="s">
        <v>116</v>
      </c>
      <c r="C39" s="44" t="s">
        <v>47</v>
      </c>
      <c r="D39" s="47" t="s">
        <v>14</v>
      </c>
    </row>
    <row r="40" spans="1:13" x14ac:dyDescent="0.25">
      <c r="A40" s="47" t="s">
        <v>1</v>
      </c>
      <c r="B40" s="16" t="s">
        <v>32</v>
      </c>
      <c r="C40" s="17">
        <f>ROUND(1/12,4)</f>
        <v>8.3299999999999999E-2</v>
      </c>
      <c r="D40" s="18">
        <f>ROUND($D$34*C40,2)</f>
        <v>154.07</v>
      </c>
    </row>
    <row r="41" spans="1:13" x14ac:dyDescent="0.25">
      <c r="A41" s="47" t="s">
        <v>3</v>
      </c>
      <c r="B41" s="16" t="s">
        <v>42</v>
      </c>
      <c r="C41" s="17">
        <f>1/12+1/3/12</f>
        <v>0.1111111111111111</v>
      </c>
      <c r="D41" s="18">
        <f>ROUND($D$34*C41,2)</f>
        <v>205.5</v>
      </c>
    </row>
    <row r="42" spans="1:13" x14ac:dyDescent="0.25">
      <c r="A42" s="47" t="s">
        <v>4</v>
      </c>
      <c r="B42" s="19" t="s">
        <v>107</v>
      </c>
      <c r="C42" s="20">
        <f>SUM(C40:C41)</f>
        <v>0.19441111111111109</v>
      </c>
      <c r="D42" s="13">
        <f>SUM(D40:D41)</f>
        <v>359.57</v>
      </c>
    </row>
    <row r="43" spans="1:13" x14ac:dyDescent="0.25">
      <c r="A43" s="47" t="s">
        <v>6</v>
      </c>
      <c r="B43" s="16" t="s">
        <v>108</v>
      </c>
      <c r="C43" s="17">
        <f>C42*C56</f>
        <v>7.3273547777777767E-2</v>
      </c>
      <c r="D43" s="18">
        <f>ROUND($D$34*C43,2)</f>
        <v>135.52000000000001</v>
      </c>
    </row>
    <row r="44" spans="1:13" x14ac:dyDescent="0.25">
      <c r="A44" s="99" t="s">
        <v>43</v>
      </c>
      <c r="B44" s="99"/>
      <c r="C44" s="20">
        <f>SUM(C42:C43)</f>
        <v>0.26768465888888887</v>
      </c>
      <c r="D44" s="13">
        <f>SUM(D42:D43)</f>
        <v>495.09000000000003</v>
      </c>
      <c r="M44" s="28"/>
    </row>
    <row r="45" spans="1:13" x14ac:dyDescent="0.25">
      <c r="A45" s="49"/>
      <c r="B45" s="49"/>
      <c r="C45" s="49"/>
      <c r="D45" s="14"/>
    </row>
    <row r="46" spans="1:13" ht="25.5" customHeight="1" x14ac:dyDescent="0.25">
      <c r="A46" s="94" t="s">
        <v>44</v>
      </c>
      <c r="B46" s="94"/>
      <c r="C46" s="94"/>
      <c r="D46" s="94"/>
    </row>
    <row r="47" spans="1:13" x14ac:dyDescent="0.25">
      <c r="A47" s="44" t="s">
        <v>45</v>
      </c>
      <c r="B47" s="19" t="s">
        <v>46</v>
      </c>
      <c r="C47" s="44" t="s">
        <v>47</v>
      </c>
      <c r="D47" s="44" t="s">
        <v>14</v>
      </c>
      <c r="E47" s="21"/>
    </row>
    <row r="48" spans="1:13" x14ac:dyDescent="0.25">
      <c r="A48" s="22" t="s">
        <v>1</v>
      </c>
      <c r="B48" s="16" t="s">
        <v>48</v>
      </c>
      <c r="C48" s="17">
        <v>0.2</v>
      </c>
      <c r="D48" s="18">
        <f t="shared" ref="D48:D55" si="0">ROUND($D$34*C48,2)</f>
        <v>369.9</v>
      </c>
    </row>
    <row r="49" spans="1:13" x14ac:dyDescent="0.25">
      <c r="A49" s="22" t="s">
        <v>3</v>
      </c>
      <c r="B49" s="16" t="s">
        <v>49</v>
      </c>
      <c r="C49" s="17">
        <v>2.5000000000000001E-2</v>
      </c>
      <c r="D49" s="18">
        <f>ROUND($D$34*C49,2)</f>
        <v>46.24</v>
      </c>
    </row>
    <row r="50" spans="1:13" x14ac:dyDescent="0.25">
      <c r="A50" s="22" t="s">
        <v>4</v>
      </c>
      <c r="B50" s="16" t="s">
        <v>50</v>
      </c>
      <c r="C50" s="17">
        <f>ROUND(3%*1.2963,4)</f>
        <v>3.8899999999999997E-2</v>
      </c>
      <c r="D50" s="18">
        <f t="shared" si="0"/>
        <v>71.95</v>
      </c>
    </row>
    <row r="51" spans="1:13" x14ac:dyDescent="0.25">
      <c r="A51" s="22" t="s">
        <v>6</v>
      </c>
      <c r="B51" s="16" t="s">
        <v>51</v>
      </c>
      <c r="C51" s="17">
        <v>1.4999999999999999E-2</v>
      </c>
      <c r="D51" s="18">
        <f t="shared" si="0"/>
        <v>27.74</v>
      </c>
    </row>
    <row r="52" spans="1:13" x14ac:dyDescent="0.25">
      <c r="A52" s="22" t="s">
        <v>17</v>
      </c>
      <c r="B52" s="16" t="s">
        <v>52</v>
      </c>
      <c r="C52" s="17">
        <v>0.01</v>
      </c>
      <c r="D52" s="18">
        <f t="shared" si="0"/>
        <v>18.5</v>
      </c>
    </row>
    <row r="53" spans="1:13" x14ac:dyDescent="0.25">
      <c r="A53" s="22" t="s">
        <v>18</v>
      </c>
      <c r="B53" s="16" t="s">
        <v>53</v>
      </c>
      <c r="C53" s="17">
        <v>6.0000000000000001E-3</v>
      </c>
      <c r="D53" s="18">
        <f t="shared" si="0"/>
        <v>11.1</v>
      </c>
    </row>
    <row r="54" spans="1:13" x14ac:dyDescent="0.25">
      <c r="A54" s="22" t="s">
        <v>19</v>
      </c>
      <c r="B54" s="16" t="s">
        <v>54</v>
      </c>
      <c r="C54" s="17">
        <v>2E-3</v>
      </c>
      <c r="D54" s="18">
        <f t="shared" si="0"/>
        <v>3.7</v>
      </c>
    </row>
    <row r="55" spans="1:13" x14ac:dyDescent="0.25">
      <c r="A55" s="22" t="s">
        <v>20</v>
      </c>
      <c r="B55" s="16" t="s">
        <v>55</v>
      </c>
      <c r="C55" s="17">
        <v>0.08</v>
      </c>
      <c r="D55" s="18">
        <f t="shared" si="0"/>
        <v>147.96</v>
      </c>
    </row>
    <row r="56" spans="1:13" x14ac:dyDescent="0.25">
      <c r="A56" s="94" t="s">
        <v>27</v>
      </c>
      <c r="B56" s="94"/>
      <c r="C56" s="20">
        <f>ROUND(SUM(C48:C55),4)</f>
        <v>0.37690000000000001</v>
      </c>
      <c r="D56" s="13">
        <f>ROUND(SUM(D48:D55),2)</f>
        <v>697.09</v>
      </c>
      <c r="M56" s="28"/>
    </row>
    <row r="57" spans="1:13" x14ac:dyDescent="0.25">
      <c r="A57" s="49"/>
      <c r="B57" s="49"/>
      <c r="C57" s="49"/>
      <c r="D57" s="14"/>
    </row>
    <row r="58" spans="1:13" x14ac:dyDescent="0.25">
      <c r="A58" s="93" t="s">
        <v>56</v>
      </c>
      <c r="B58" s="93"/>
      <c r="C58" s="93"/>
      <c r="D58" s="93"/>
    </row>
    <row r="59" spans="1:13" x14ac:dyDescent="0.25">
      <c r="A59" s="45" t="s">
        <v>57</v>
      </c>
      <c r="B59" s="107" t="s">
        <v>22</v>
      </c>
      <c r="C59" s="107"/>
      <c r="D59" s="45" t="s">
        <v>14</v>
      </c>
      <c r="F59" s="53" t="s">
        <v>120</v>
      </c>
      <c r="G59" s="41"/>
      <c r="K59" s="28"/>
    </row>
    <row r="60" spans="1:13" x14ac:dyDescent="0.25">
      <c r="A60" s="45" t="s">
        <v>1</v>
      </c>
      <c r="B60" s="95" t="s">
        <v>115</v>
      </c>
      <c r="C60" s="95"/>
      <c r="D60" s="9">
        <f>IF(((F62*2*F60)-(D28*0.06))&lt;0,0,((F62*2*F60)-(D28*0.06)))</f>
        <v>0</v>
      </c>
      <c r="F60" s="55">
        <v>21</v>
      </c>
      <c r="G60" s="41"/>
      <c r="K60" s="28"/>
    </row>
    <row r="61" spans="1:13" x14ac:dyDescent="0.25">
      <c r="A61" s="45" t="s">
        <v>3</v>
      </c>
      <c r="B61" s="108" t="s">
        <v>129</v>
      </c>
      <c r="C61" s="109"/>
      <c r="D61" s="9">
        <f>F64*F60*(1-F66)</f>
        <v>458.62739999999997</v>
      </c>
      <c r="F61" s="53" t="s">
        <v>121</v>
      </c>
      <c r="G61" s="41"/>
      <c r="K61" s="28"/>
    </row>
    <row r="62" spans="1:13" x14ac:dyDescent="0.25">
      <c r="A62" s="45" t="s">
        <v>4</v>
      </c>
      <c r="B62" s="106" t="s">
        <v>133</v>
      </c>
      <c r="C62" s="95"/>
      <c r="D62" s="9">
        <f>D34*0.07</f>
        <v>129.46668</v>
      </c>
      <c r="F62" s="54">
        <v>0</v>
      </c>
      <c r="G62" s="41"/>
      <c r="K62" s="28"/>
    </row>
    <row r="63" spans="1:13" x14ac:dyDescent="0.25">
      <c r="A63" s="45" t="s">
        <v>6</v>
      </c>
      <c r="B63" s="106" t="s">
        <v>134</v>
      </c>
      <c r="C63" s="95"/>
      <c r="D63" s="9">
        <f>D34*0.1%</f>
        <v>1.8495239999999999</v>
      </c>
      <c r="F63" s="53" t="s">
        <v>122</v>
      </c>
      <c r="G63" s="41"/>
      <c r="K63" s="28"/>
    </row>
    <row r="64" spans="1:13" x14ac:dyDescent="0.25">
      <c r="A64" s="46" t="s">
        <v>58</v>
      </c>
      <c r="B64" s="106" t="s">
        <v>135</v>
      </c>
      <c r="C64" s="95"/>
      <c r="D64" s="9">
        <v>11</v>
      </c>
      <c r="F64" s="54">
        <f>VLOOKUP($F$4,'Quadro Resumo'!$B$5:$T$14,7,FALSE)</f>
        <v>22.06</v>
      </c>
      <c r="G64" s="41"/>
      <c r="K64" s="28"/>
    </row>
    <row r="65" spans="1:11" ht="15" customHeight="1" x14ac:dyDescent="0.25">
      <c r="A65" s="46" t="s">
        <v>18</v>
      </c>
      <c r="B65" s="108" t="s">
        <v>136</v>
      </c>
      <c r="C65" s="109"/>
      <c r="D65" s="9">
        <f>(D28+D30)*1%</f>
        <v>18.495239999999999</v>
      </c>
      <c r="F65" s="53" t="s">
        <v>123</v>
      </c>
      <c r="G65" s="41"/>
      <c r="K65" s="28"/>
    </row>
    <row r="66" spans="1:11" x14ac:dyDescent="0.25">
      <c r="A66" s="46" t="s">
        <v>19</v>
      </c>
      <c r="B66" s="109" t="s">
        <v>94</v>
      </c>
      <c r="C66" s="109"/>
      <c r="D66" s="9"/>
      <c r="F66" s="43">
        <v>0.01</v>
      </c>
      <c r="G66" s="41"/>
      <c r="K66" s="28"/>
    </row>
    <row r="67" spans="1:11" x14ac:dyDescent="0.25">
      <c r="A67" s="99" t="s">
        <v>23</v>
      </c>
      <c r="B67" s="99"/>
      <c r="C67" s="99"/>
      <c r="D67" s="23">
        <f>ROUND(SUM(D60:D66),2)</f>
        <v>619.44000000000005</v>
      </c>
      <c r="F67" s="42"/>
      <c r="G67" s="41"/>
      <c r="K67" s="28"/>
    </row>
    <row r="68" spans="1:11" ht="15" customHeight="1" x14ac:dyDescent="0.25">
      <c r="A68" s="3"/>
      <c r="B68" s="7"/>
      <c r="C68" s="3"/>
      <c r="D68" s="14"/>
      <c r="F68" s="42"/>
      <c r="G68" s="41"/>
      <c r="K68" s="28"/>
    </row>
    <row r="69" spans="1:11" x14ac:dyDescent="0.25">
      <c r="A69" s="99" t="s">
        <v>59</v>
      </c>
      <c r="B69" s="99"/>
      <c r="C69" s="99"/>
      <c r="D69" s="99"/>
      <c r="F69" s="42"/>
      <c r="G69" s="41"/>
      <c r="K69" s="28"/>
    </row>
    <row r="70" spans="1:11" x14ac:dyDescent="0.25">
      <c r="A70" s="44">
        <v>2</v>
      </c>
      <c r="B70" s="94" t="s">
        <v>60</v>
      </c>
      <c r="C70" s="94"/>
      <c r="D70" s="44" t="s">
        <v>14</v>
      </c>
      <c r="F70" s="42"/>
      <c r="G70" s="41"/>
      <c r="K70" s="28"/>
    </row>
    <row r="71" spans="1:11" x14ac:dyDescent="0.25">
      <c r="A71" s="44" t="s">
        <v>40</v>
      </c>
      <c r="B71" s="95" t="s">
        <v>41</v>
      </c>
      <c r="C71" s="95"/>
      <c r="D71" s="18">
        <f>ROUND(D44,2)</f>
        <v>495.09</v>
      </c>
      <c r="F71" s="42"/>
      <c r="G71" s="41"/>
      <c r="K71" s="28"/>
    </row>
    <row r="72" spans="1:11" x14ac:dyDescent="0.25">
      <c r="A72" s="44" t="s">
        <v>45</v>
      </c>
      <c r="B72" s="95" t="s">
        <v>46</v>
      </c>
      <c r="C72" s="95"/>
      <c r="D72" s="18">
        <f>ROUND(D56,2)</f>
        <v>697.09</v>
      </c>
      <c r="F72" s="42"/>
      <c r="G72" s="41"/>
      <c r="K72" s="28"/>
    </row>
    <row r="73" spans="1:11" x14ac:dyDescent="0.25">
      <c r="A73" s="44" t="s">
        <v>57</v>
      </c>
      <c r="B73" s="95" t="s">
        <v>22</v>
      </c>
      <c r="C73" s="95"/>
      <c r="D73" s="18">
        <f>ROUND(D67,2)</f>
        <v>619.44000000000005</v>
      </c>
      <c r="F73" s="42"/>
      <c r="G73" s="41"/>
      <c r="K73" s="28"/>
    </row>
    <row r="74" spans="1:11" x14ac:dyDescent="0.25">
      <c r="A74" s="94" t="s">
        <v>27</v>
      </c>
      <c r="B74" s="94"/>
      <c r="C74" s="94"/>
      <c r="D74" s="13">
        <f>ROUND(SUM(D71:D73),2)</f>
        <v>1811.62</v>
      </c>
      <c r="F74" s="42"/>
      <c r="G74" s="41"/>
      <c r="K74" s="28"/>
    </row>
    <row r="75" spans="1:11" x14ac:dyDescent="0.25">
      <c r="A75" s="3"/>
      <c r="B75" s="7"/>
      <c r="C75" s="3"/>
      <c r="D75" s="14"/>
      <c r="F75" s="42"/>
      <c r="G75" s="41"/>
      <c r="K75" s="28"/>
    </row>
    <row r="76" spans="1:11" x14ac:dyDescent="0.25">
      <c r="A76" s="93" t="s">
        <v>61</v>
      </c>
      <c r="B76" s="93"/>
      <c r="C76" s="93"/>
      <c r="D76" s="93"/>
      <c r="F76" s="42"/>
      <c r="G76" s="41"/>
      <c r="K76" s="28"/>
    </row>
    <row r="77" spans="1:11" ht="12.75" customHeight="1" x14ac:dyDescent="0.25">
      <c r="A77" s="44">
        <v>3</v>
      </c>
      <c r="B77" s="19" t="s">
        <v>28</v>
      </c>
      <c r="C77" s="44" t="s">
        <v>47</v>
      </c>
      <c r="D77" s="44" t="s">
        <v>14</v>
      </c>
      <c r="F77" s="42"/>
      <c r="G77" s="41"/>
      <c r="K77" s="28"/>
    </row>
    <row r="78" spans="1:11" x14ac:dyDescent="0.25">
      <c r="A78" s="44" t="s">
        <v>1</v>
      </c>
      <c r="B78" s="16" t="s">
        <v>62</v>
      </c>
      <c r="C78" s="24">
        <f>1/12*0.05</f>
        <v>4.1666666666666666E-3</v>
      </c>
      <c r="D78" s="18">
        <f>ROUND(($D$34+$D$42)*C78,2)</f>
        <v>9.1999999999999993</v>
      </c>
      <c r="F78" s="42"/>
      <c r="G78" s="41"/>
      <c r="K78" s="28"/>
    </row>
    <row r="79" spans="1:11" x14ac:dyDescent="0.25">
      <c r="A79" s="44" t="s">
        <v>3</v>
      </c>
      <c r="B79" s="16" t="s">
        <v>63</v>
      </c>
      <c r="C79" s="58">
        <f>C78*C55</f>
        <v>3.3333333333333332E-4</v>
      </c>
      <c r="D79" s="18">
        <f t="shared" ref="D79:D83" si="1">ROUND(($D$34+$D$42)*C79,2)</f>
        <v>0.74</v>
      </c>
      <c r="F79" s="42"/>
      <c r="G79" s="41"/>
      <c r="K79" s="28"/>
    </row>
    <row r="80" spans="1:11" x14ac:dyDescent="0.25">
      <c r="A80" s="44" t="s">
        <v>4</v>
      </c>
      <c r="B80" s="59" t="s">
        <v>125</v>
      </c>
      <c r="C80" s="24">
        <v>5.1999999999999998E-3</v>
      </c>
      <c r="D80" s="18">
        <f t="shared" si="1"/>
        <v>11.49</v>
      </c>
      <c r="F80" s="42"/>
      <c r="G80" s="41"/>
      <c r="K80" s="28"/>
    </row>
    <row r="81" spans="1:13" x14ac:dyDescent="0.25">
      <c r="A81" s="44" t="s">
        <v>6</v>
      </c>
      <c r="B81" s="16" t="s">
        <v>110</v>
      </c>
      <c r="C81" s="24">
        <f>(((7/30/12)+(((7/30/12)*0.1)*9)))/10</f>
        <v>3.6944444444444446E-3</v>
      </c>
      <c r="D81" s="18">
        <f t="shared" si="1"/>
        <v>8.16</v>
      </c>
      <c r="F81" s="42"/>
      <c r="G81" s="41"/>
      <c r="K81" s="28"/>
    </row>
    <row r="82" spans="1:13" ht="25.5" x14ac:dyDescent="0.25">
      <c r="A82" s="44" t="s">
        <v>17</v>
      </c>
      <c r="B82" s="16" t="s">
        <v>64</v>
      </c>
      <c r="C82" s="24">
        <f>C81*C56</f>
        <v>1.3924361111111111E-3</v>
      </c>
      <c r="D82" s="18">
        <f t="shared" si="1"/>
        <v>3.08</v>
      </c>
      <c r="F82" s="42"/>
      <c r="G82" s="41"/>
      <c r="K82" s="28"/>
    </row>
    <row r="83" spans="1:13" x14ac:dyDescent="0.25">
      <c r="A83" s="44" t="s">
        <v>4</v>
      </c>
      <c r="B83" s="59" t="s">
        <v>126</v>
      </c>
      <c r="C83" s="24">
        <v>2.6800000000000001E-2</v>
      </c>
      <c r="D83" s="18">
        <f t="shared" si="1"/>
        <v>59.2</v>
      </c>
      <c r="F83" s="42"/>
      <c r="G83" s="41"/>
      <c r="K83" s="28"/>
    </row>
    <row r="84" spans="1:13" x14ac:dyDescent="0.25">
      <c r="A84" s="94" t="s">
        <v>27</v>
      </c>
      <c r="B84" s="94"/>
      <c r="C84" s="25">
        <f>ROUND(SUM(C78:C83),4)</f>
        <v>4.1599999999999998E-2</v>
      </c>
      <c r="D84" s="23">
        <f>ROUND(SUM(D78:D83),2)</f>
        <v>91.87</v>
      </c>
      <c r="F84" s="42"/>
      <c r="G84" s="41"/>
      <c r="K84" s="28"/>
      <c r="M84" s="28"/>
    </row>
    <row r="85" spans="1:13" x14ac:dyDescent="0.25">
      <c r="A85" s="15"/>
      <c r="B85" s="15"/>
      <c r="C85" s="15"/>
      <c r="D85" s="14"/>
      <c r="F85" s="42"/>
      <c r="G85" s="41"/>
      <c r="K85" s="28"/>
    </row>
    <row r="86" spans="1:13" x14ac:dyDescent="0.25">
      <c r="A86" s="105" t="s">
        <v>65</v>
      </c>
      <c r="B86" s="105"/>
      <c r="C86" s="105"/>
      <c r="D86" s="105"/>
      <c r="F86" s="42"/>
      <c r="G86" s="41"/>
      <c r="K86" s="28"/>
      <c r="L86" s="26"/>
    </row>
    <row r="87" spans="1:13" x14ac:dyDescent="0.25">
      <c r="A87" s="15"/>
      <c r="B87" s="15"/>
      <c r="C87" s="15"/>
      <c r="D87" s="15"/>
      <c r="K87" s="29"/>
    </row>
    <row r="88" spans="1:13" x14ac:dyDescent="0.25">
      <c r="A88" s="93" t="s">
        <v>66</v>
      </c>
      <c r="B88" s="93"/>
      <c r="C88" s="93"/>
      <c r="D88" s="93"/>
      <c r="K88" s="29"/>
    </row>
    <row r="89" spans="1:13" x14ac:dyDescent="0.25">
      <c r="A89" s="44" t="s">
        <v>25</v>
      </c>
      <c r="B89" s="19" t="s">
        <v>67</v>
      </c>
      <c r="C89" s="44" t="s">
        <v>47</v>
      </c>
      <c r="D89" s="44" t="s">
        <v>14</v>
      </c>
      <c r="F89" s="21"/>
      <c r="G89" s="21"/>
      <c r="K89" s="29"/>
    </row>
    <row r="90" spans="1:13" x14ac:dyDescent="0.25">
      <c r="A90" s="44" t="s">
        <v>1</v>
      </c>
      <c r="B90" s="16" t="s">
        <v>68</v>
      </c>
      <c r="C90" s="24">
        <f>(1)/12/12</f>
        <v>6.9444444444444441E-3</v>
      </c>
      <c r="D90" s="18">
        <f>ROUND(($D$34+$D$74+$D$84-$D$60-$D$61)*C90,2)</f>
        <v>22.88</v>
      </c>
      <c r="F90" s="50"/>
      <c r="G90" s="21"/>
      <c r="K90" s="29"/>
    </row>
    <row r="91" spans="1:13" x14ac:dyDescent="0.25">
      <c r="A91" s="44" t="s">
        <v>3</v>
      </c>
      <c r="B91" s="16" t="s">
        <v>67</v>
      </c>
      <c r="C91" s="24">
        <f>0.13/365</f>
        <v>3.5616438356164383E-4</v>
      </c>
      <c r="D91" s="18">
        <f t="shared" ref="D91:D96" si="2">ROUND(($D$34+$D$74+$D$84-$D$60-$D$61)*C91,2)</f>
        <v>1.17</v>
      </c>
      <c r="E91" s="27"/>
      <c r="F91" s="27"/>
      <c r="G91" s="21"/>
    </row>
    <row r="92" spans="1:13" x14ac:dyDescent="0.25">
      <c r="A92" s="44" t="s">
        <v>4</v>
      </c>
      <c r="B92" s="59" t="s">
        <v>127</v>
      </c>
      <c r="C92" s="24">
        <f>5/30/12*0.01399</f>
        <v>1.9430555555555556E-4</v>
      </c>
      <c r="D92" s="18">
        <f t="shared" si="2"/>
        <v>0.64</v>
      </c>
    </row>
    <row r="93" spans="1:13" x14ac:dyDescent="0.25">
      <c r="A93" s="44" t="s">
        <v>6</v>
      </c>
      <c r="B93" s="16" t="s">
        <v>33</v>
      </c>
      <c r="C93" s="24">
        <f>15/30/12*0.0078</f>
        <v>3.2499999999999999E-4</v>
      </c>
      <c r="D93" s="18">
        <f t="shared" si="2"/>
        <v>1.07</v>
      </c>
    </row>
    <row r="94" spans="1:13" x14ac:dyDescent="0.25">
      <c r="A94" s="44" t="s">
        <v>17</v>
      </c>
      <c r="B94" s="59" t="s">
        <v>128</v>
      </c>
      <c r="C94" s="24">
        <f>0.01399*(4/12)/12</f>
        <v>3.8861111111111111E-4</v>
      </c>
      <c r="D94" s="18">
        <f t="shared" si="2"/>
        <v>1.28</v>
      </c>
    </row>
    <row r="95" spans="1:13" x14ac:dyDescent="0.25">
      <c r="A95" s="44" t="s">
        <v>18</v>
      </c>
      <c r="B95" s="16" t="s">
        <v>95</v>
      </c>
      <c r="C95" s="24">
        <f>0.13/365</f>
        <v>3.5616438356164383E-4</v>
      </c>
      <c r="D95" s="18">
        <f t="shared" si="2"/>
        <v>1.17</v>
      </c>
      <c r="E95" s="28"/>
    </row>
    <row r="96" spans="1:13" x14ac:dyDescent="0.25">
      <c r="A96" s="44" t="s">
        <v>19</v>
      </c>
      <c r="B96" s="16" t="s">
        <v>94</v>
      </c>
      <c r="C96" s="24"/>
      <c r="D96" s="18">
        <f t="shared" si="2"/>
        <v>0</v>
      </c>
      <c r="E96" s="28"/>
    </row>
    <row r="97" spans="1:13" x14ac:dyDescent="0.25">
      <c r="A97" s="94" t="s">
        <v>27</v>
      </c>
      <c r="B97" s="94"/>
      <c r="C97" s="20">
        <f>ROUND(SUM(C90:C96),4)</f>
        <v>8.6E-3</v>
      </c>
      <c r="D97" s="13">
        <f>ROUND(SUM(D90:D96),2)</f>
        <v>28.21</v>
      </c>
      <c r="M97" s="28"/>
    </row>
    <row r="98" spans="1:13" x14ac:dyDescent="0.25">
      <c r="A98" s="15"/>
      <c r="B98" s="15"/>
      <c r="D98" s="14"/>
      <c r="F98" s="51"/>
      <c r="M98" s="51"/>
    </row>
    <row r="99" spans="1:13" x14ac:dyDescent="0.25">
      <c r="A99" s="93" t="s">
        <v>69</v>
      </c>
      <c r="B99" s="93"/>
      <c r="C99" s="93"/>
      <c r="D99" s="93"/>
    </row>
    <row r="100" spans="1:13" x14ac:dyDescent="0.25">
      <c r="A100" s="44" t="s">
        <v>26</v>
      </c>
      <c r="B100" s="19" t="s">
        <v>70</v>
      </c>
      <c r="C100" s="44" t="s">
        <v>47</v>
      </c>
      <c r="D100" s="44" t="s">
        <v>14</v>
      </c>
      <c r="E100" s="26"/>
    </row>
    <row r="101" spans="1:13" x14ac:dyDescent="0.25">
      <c r="A101" s="44" t="s">
        <v>1</v>
      </c>
      <c r="B101" s="16" t="s">
        <v>71</v>
      </c>
      <c r="C101" s="24">
        <f>D101/D34</f>
        <v>0</v>
      </c>
      <c r="D101" s="9"/>
      <c r="E101" s="30"/>
    </row>
    <row r="102" spans="1:13" x14ac:dyDescent="0.25">
      <c r="A102" s="102" t="s">
        <v>27</v>
      </c>
      <c r="B102" s="103"/>
      <c r="C102" s="104"/>
      <c r="D102" s="9">
        <f>ROUND(D101,2)</f>
        <v>0</v>
      </c>
    </row>
    <row r="103" spans="1:13" x14ac:dyDescent="0.25">
      <c r="A103" s="3"/>
      <c r="B103" s="7"/>
      <c r="C103" s="3"/>
      <c r="D103" s="14"/>
    </row>
    <row r="104" spans="1:13" ht="15.75" customHeight="1" x14ac:dyDescent="0.25">
      <c r="A104" s="93" t="s">
        <v>72</v>
      </c>
      <c r="B104" s="93"/>
      <c r="C104" s="93"/>
      <c r="D104" s="93"/>
    </row>
    <row r="105" spans="1:13" x14ac:dyDescent="0.25">
      <c r="A105" s="44">
        <v>4</v>
      </c>
      <c r="B105" s="94" t="s">
        <v>73</v>
      </c>
      <c r="C105" s="94"/>
      <c r="D105" s="44" t="s">
        <v>14</v>
      </c>
    </row>
    <row r="106" spans="1:13" x14ac:dyDescent="0.25">
      <c r="A106" s="22" t="s">
        <v>25</v>
      </c>
      <c r="B106" s="95" t="s">
        <v>67</v>
      </c>
      <c r="C106" s="95"/>
      <c r="D106" s="18">
        <f>ROUND(D97,2)</f>
        <v>28.21</v>
      </c>
    </row>
    <row r="107" spans="1:13" x14ac:dyDescent="0.25">
      <c r="A107" s="22" t="s">
        <v>26</v>
      </c>
      <c r="B107" s="95" t="s">
        <v>70</v>
      </c>
      <c r="C107" s="95"/>
      <c r="D107" s="18">
        <f>ROUND(D102,2)</f>
        <v>0</v>
      </c>
    </row>
    <row r="108" spans="1:13" x14ac:dyDescent="0.25">
      <c r="A108" s="94" t="s">
        <v>27</v>
      </c>
      <c r="B108" s="94"/>
      <c r="C108" s="94"/>
      <c r="D108" s="13">
        <f>ROUND(SUM(D106:D107),2)</f>
        <v>28.21</v>
      </c>
    </row>
    <row r="109" spans="1:13" x14ac:dyDescent="0.25">
      <c r="A109" s="3"/>
      <c r="B109" s="7"/>
      <c r="C109" s="3"/>
      <c r="D109" s="14"/>
      <c r="E109" s="28"/>
    </row>
    <row r="110" spans="1:13" x14ac:dyDescent="0.25">
      <c r="A110" s="99" t="s">
        <v>74</v>
      </c>
      <c r="B110" s="99"/>
      <c r="C110" s="99"/>
      <c r="D110" s="99"/>
    </row>
    <row r="111" spans="1:13" x14ac:dyDescent="0.25">
      <c r="A111" s="47">
        <v>5</v>
      </c>
      <c r="B111" s="99" t="s">
        <v>117</v>
      </c>
      <c r="C111" s="99"/>
      <c r="D111" s="47" t="s">
        <v>14</v>
      </c>
    </row>
    <row r="112" spans="1:13" x14ac:dyDescent="0.25">
      <c r="A112" s="47" t="s">
        <v>1</v>
      </c>
      <c r="B112" s="100" t="s">
        <v>99</v>
      </c>
      <c r="C112" s="100"/>
      <c r="D112" s="9">
        <v>35</v>
      </c>
    </row>
    <row r="113" spans="1:4" x14ac:dyDescent="0.25">
      <c r="A113" s="47" t="s">
        <v>3</v>
      </c>
      <c r="B113" s="100" t="s">
        <v>165</v>
      </c>
      <c r="C113" s="100"/>
      <c r="D113" s="9">
        <v>95.9</v>
      </c>
    </row>
    <row r="114" spans="1:4" x14ac:dyDescent="0.25">
      <c r="A114" s="31" t="s">
        <v>4</v>
      </c>
      <c r="B114" s="100" t="s">
        <v>94</v>
      </c>
      <c r="C114" s="100"/>
      <c r="D114" s="9"/>
    </row>
    <row r="115" spans="1:4" x14ac:dyDescent="0.25">
      <c r="A115" s="99" t="s">
        <v>24</v>
      </c>
      <c r="B115" s="99"/>
      <c r="C115" s="99"/>
      <c r="D115" s="23">
        <f>ROUND(SUM(D112:D114),2)</f>
        <v>130.9</v>
      </c>
    </row>
    <row r="116" spans="1:4" x14ac:dyDescent="0.25">
      <c r="A116" s="101"/>
      <c r="B116" s="101"/>
      <c r="C116" s="101"/>
    </row>
    <row r="117" spans="1:4" x14ac:dyDescent="0.25">
      <c r="A117" s="99" t="s">
        <v>89</v>
      </c>
      <c r="B117" s="99"/>
      <c r="C117" s="99"/>
      <c r="D117" s="99"/>
    </row>
    <row r="118" spans="1:4" x14ac:dyDescent="0.25">
      <c r="A118" s="44">
        <v>6</v>
      </c>
      <c r="B118" s="19" t="s">
        <v>29</v>
      </c>
      <c r="C118" s="44" t="s">
        <v>47</v>
      </c>
      <c r="D118" s="44" t="s">
        <v>14</v>
      </c>
    </row>
    <row r="119" spans="1:4" x14ac:dyDescent="0.25">
      <c r="A119" s="44" t="s">
        <v>1</v>
      </c>
      <c r="B119" s="16" t="s">
        <v>30</v>
      </c>
      <c r="C119" s="60">
        <f>VLOOKUP($F$4,'Quadro Resumo'!$B$5:$T$14,18,FALSE)</f>
        <v>2.6154650000000002E-2</v>
      </c>
      <c r="D119" s="9">
        <f>D138*C119</f>
        <v>102.320129358</v>
      </c>
    </row>
    <row r="120" spans="1:4" x14ac:dyDescent="0.25">
      <c r="A120" s="44" t="s">
        <v>3</v>
      </c>
      <c r="B120" s="16" t="s">
        <v>75</v>
      </c>
      <c r="C120" s="60">
        <f>VLOOKUP($F$4,'Quadro Resumo'!$B$5:$T$14,19,FALSE)</f>
        <v>5.0000000000000001E-3</v>
      </c>
      <c r="D120" s="9">
        <f>(D138+D119)*C120</f>
        <v>20.072200646790002</v>
      </c>
    </row>
    <row r="121" spans="1:4" x14ac:dyDescent="0.25">
      <c r="A121" s="44" t="s">
        <v>4</v>
      </c>
      <c r="B121" s="16" t="s">
        <v>76</v>
      </c>
      <c r="C121" s="33"/>
      <c r="D121" s="9"/>
    </row>
    <row r="122" spans="1:4" x14ac:dyDescent="0.25">
      <c r="A122" s="44"/>
      <c r="B122" s="16" t="s">
        <v>98</v>
      </c>
      <c r="C122" s="32">
        <v>6.4999999999999997E-3</v>
      </c>
      <c r="D122" s="9">
        <f>(D138+D119+D120)/(1-$C$125)*C122</f>
        <v>28.092480069663775</v>
      </c>
    </row>
    <row r="123" spans="1:4" x14ac:dyDescent="0.25">
      <c r="A123" s="44"/>
      <c r="B123" s="16" t="s">
        <v>97</v>
      </c>
      <c r="C123" s="32">
        <v>0.03</v>
      </c>
      <c r="D123" s="9">
        <f>(D138+D119+D120)/(1-$C$125)*C123</f>
        <v>129.65760032152511</v>
      </c>
    </row>
    <row r="124" spans="1:4" x14ac:dyDescent="0.25">
      <c r="A124" s="22"/>
      <c r="B124" s="16" t="s">
        <v>96</v>
      </c>
      <c r="C124" s="32">
        <f>VLOOKUP($F$4,'Quadro Resumo'!$B$5:$T$14,9,FALSE)</f>
        <v>0.03</v>
      </c>
      <c r="D124" s="9">
        <f>(D138+D119+D120)/(1-$C$125)*C124</f>
        <v>129.65760032152511</v>
      </c>
    </row>
    <row r="125" spans="1:4" x14ac:dyDescent="0.25">
      <c r="A125" s="44"/>
      <c r="B125" s="34" t="s">
        <v>90</v>
      </c>
      <c r="C125" s="33">
        <f>SUM(C122:C124)</f>
        <v>6.6500000000000004E-2</v>
      </c>
      <c r="D125" s="13">
        <f>SUM(D122:D124)</f>
        <v>287.40768071271395</v>
      </c>
    </row>
    <row r="126" spans="1:4" ht="12" customHeight="1" x14ac:dyDescent="0.25">
      <c r="A126" s="102" t="s">
        <v>91</v>
      </c>
      <c r="B126" s="103"/>
      <c r="C126" s="104"/>
      <c r="D126" s="13">
        <f>D125+D119+D120</f>
        <v>409.80001071750399</v>
      </c>
    </row>
    <row r="127" spans="1:4" x14ac:dyDescent="0.25">
      <c r="A127" s="98" t="s">
        <v>102</v>
      </c>
      <c r="B127" s="98"/>
      <c r="C127" s="98"/>
      <c r="D127" s="98"/>
    </row>
    <row r="128" spans="1:4" x14ac:dyDescent="0.25">
      <c r="A128" s="96" t="s">
        <v>103</v>
      </c>
      <c r="B128" s="96"/>
      <c r="C128" s="96"/>
      <c r="D128" s="96"/>
    </row>
    <row r="129" spans="1:4" x14ac:dyDescent="0.25">
      <c r="A129" s="97" t="s">
        <v>104</v>
      </c>
      <c r="B129" s="97"/>
      <c r="C129" s="35">
        <f>1-C125</f>
        <v>0.9335</v>
      </c>
    </row>
    <row r="131" spans="1:4" x14ac:dyDescent="0.25">
      <c r="A131" s="93" t="s">
        <v>77</v>
      </c>
      <c r="B131" s="93"/>
      <c r="C131" s="93"/>
      <c r="D131" s="93"/>
    </row>
    <row r="132" spans="1:4" x14ac:dyDescent="0.25">
      <c r="A132" s="22"/>
      <c r="B132" s="94" t="s">
        <v>78</v>
      </c>
      <c r="C132" s="94"/>
      <c r="D132" s="44" t="s">
        <v>14</v>
      </c>
    </row>
    <row r="133" spans="1:4" x14ac:dyDescent="0.25">
      <c r="A133" s="44" t="s">
        <v>1</v>
      </c>
      <c r="B133" s="95" t="s">
        <v>31</v>
      </c>
      <c r="C133" s="95"/>
      <c r="D133" s="36">
        <f>ROUND(D34,2)</f>
        <v>1849.52</v>
      </c>
    </row>
    <row r="134" spans="1:4" x14ac:dyDescent="0.25">
      <c r="A134" s="44" t="s">
        <v>3</v>
      </c>
      <c r="B134" s="95" t="s">
        <v>79</v>
      </c>
      <c r="C134" s="95"/>
      <c r="D134" s="37">
        <f>ROUND(D74,2)</f>
        <v>1811.62</v>
      </c>
    </row>
    <row r="135" spans="1:4" x14ac:dyDescent="0.25">
      <c r="A135" s="44" t="s">
        <v>4</v>
      </c>
      <c r="B135" s="95" t="s">
        <v>61</v>
      </c>
      <c r="C135" s="95"/>
      <c r="D135" s="36">
        <f>ROUND(D84,2)</f>
        <v>91.87</v>
      </c>
    </row>
    <row r="136" spans="1:4" x14ac:dyDescent="0.25">
      <c r="A136" s="44" t="s">
        <v>6</v>
      </c>
      <c r="B136" s="95" t="s">
        <v>65</v>
      </c>
      <c r="C136" s="95"/>
      <c r="D136" s="36">
        <f>ROUND(D108,2)</f>
        <v>28.21</v>
      </c>
    </row>
    <row r="137" spans="1:4" x14ac:dyDescent="0.25">
      <c r="A137" s="44" t="s">
        <v>17</v>
      </c>
      <c r="B137" s="95" t="s">
        <v>80</v>
      </c>
      <c r="C137" s="95"/>
      <c r="D137" s="36">
        <f>ROUND(D115,2)</f>
        <v>130.9</v>
      </c>
    </row>
    <row r="138" spans="1:4" ht="12" customHeight="1" x14ac:dyDescent="0.25">
      <c r="A138" s="94" t="s">
        <v>81</v>
      </c>
      <c r="B138" s="94"/>
      <c r="C138" s="94"/>
      <c r="D138" s="36">
        <f>ROUND(SUM(D133:D137),2)</f>
        <v>3912.12</v>
      </c>
    </row>
    <row r="139" spans="1:4" x14ac:dyDescent="0.25">
      <c r="A139" s="44" t="s">
        <v>18</v>
      </c>
      <c r="B139" s="95" t="s">
        <v>82</v>
      </c>
      <c r="C139" s="95"/>
      <c r="D139" s="36">
        <f>D126</f>
        <v>409.80001071750399</v>
      </c>
    </row>
    <row r="140" spans="1:4" ht="12" customHeight="1" x14ac:dyDescent="0.25">
      <c r="A140" s="94" t="s">
        <v>92</v>
      </c>
      <c r="B140" s="94"/>
      <c r="C140" s="94"/>
      <c r="D140" s="81">
        <f>ROUND(D138+D139,4)</f>
        <v>4321.92</v>
      </c>
    </row>
    <row r="142" spans="1:4" x14ac:dyDescent="0.25">
      <c r="A142" s="93" t="s">
        <v>83</v>
      </c>
      <c r="B142" s="93"/>
      <c r="C142" s="93"/>
      <c r="D142" s="93"/>
    </row>
    <row r="143" spans="1:4" ht="15" customHeight="1" x14ac:dyDescent="0.25">
      <c r="A143" s="94" t="s">
        <v>84</v>
      </c>
      <c r="B143" s="94"/>
      <c r="C143" s="94"/>
      <c r="D143" s="94"/>
    </row>
    <row r="144" spans="1:4" x14ac:dyDescent="0.25">
      <c r="A144" s="22"/>
      <c r="B144" s="94" t="s">
        <v>85</v>
      </c>
      <c r="C144" s="94"/>
      <c r="D144" s="44" t="s">
        <v>86</v>
      </c>
    </row>
    <row r="145" spans="1:7" x14ac:dyDescent="0.25">
      <c r="A145" s="44" t="s">
        <v>1</v>
      </c>
      <c r="B145" s="95" t="s">
        <v>87</v>
      </c>
      <c r="C145" s="95"/>
      <c r="D145" s="81">
        <f>D140</f>
        <v>4321.92</v>
      </c>
      <c r="G145" s="42"/>
    </row>
    <row r="146" spans="1:7" x14ac:dyDescent="0.25">
      <c r="A146" s="44" t="s">
        <v>3</v>
      </c>
      <c r="B146" s="95" t="s">
        <v>109</v>
      </c>
      <c r="C146" s="95"/>
      <c r="D146" s="39">
        <f>D14</f>
        <v>1</v>
      </c>
    </row>
    <row r="147" spans="1:7" x14ac:dyDescent="0.25">
      <c r="A147" s="44" t="s">
        <v>4</v>
      </c>
      <c r="B147" s="95" t="s">
        <v>34</v>
      </c>
      <c r="C147" s="95"/>
      <c r="D147" s="38">
        <f>D145*D146</f>
        <v>4321.92</v>
      </c>
    </row>
    <row r="148" spans="1:7" ht="24" customHeight="1" x14ac:dyDescent="0.25">
      <c r="A148" s="44" t="s">
        <v>6</v>
      </c>
      <c r="B148" s="95" t="s">
        <v>88</v>
      </c>
      <c r="C148" s="95"/>
      <c r="D148" s="1">
        <f>D147*D11</f>
        <v>51863.040000000001</v>
      </c>
    </row>
    <row r="150" spans="1:7" x14ac:dyDescent="0.25">
      <c r="A150" s="92"/>
      <c r="B150" s="92"/>
      <c r="C150" s="92"/>
      <c r="D150" s="92"/>
    </row>
    <row r="154" spans="1:7" x14ac:dyDescent="0.25">
      <c r="A154" s="92"/>
      <c r="B154" s="92"/>
      <c r="C154" s="92"/>
      <c r="D154" s="92"/>
    </row>
    <row r="155" spans="1:7" x14ac:dyDescent="0.25">
      <c r="A155" s="92"/>
      <c r="B155" s="92"/>
      <c r="C155" s="92"/>
      <c r="D155" s="92"/>
    </row>
    <row r="156" spans="1:7" x14ac:dyDescent="0.25">
      <c r="A156" s="92"/>
      <c r="B156" s="92"/>
      <c r="C156" s="92"/>
      <c r="D156" s="92"/>
    </row>
    <row r="157" spans="1:7" x14ac:dyDescent="0.25">
      <c r="A157" s="92"/>
      <c r="B157" s="92"/>
      <c r="C157" s="92"/>
      <c r="D157" s="92"/>
    </row>
  </sheetData>
  <mergeCells count="100">
    <mergeCell ref="A155:D155"/>
    <mergeCell ref="A156:D156"/>
    <mergeCell ref="A157:D157"/>
    <mergeCell ref="B145:C145"/>
    <mergeCell ref="B146:C146"/>
    <mergeCell ref="B147:C147"/>
    <mergeCell ref="B148:C148"/>
    <mergeCell ref="A150:D150"/>
    <mergeCell ref="A154:D154"/>
    <mergeCell ref="B144:C144"/>
    <mergeCell ref="B132:C132"/>
    <mergeCell ref="B133:C133"/>
    <mergeCell ref="B134:C134"/>
    <mergeCell ref="B135:C135"/>
    <mergeCell ref="B136:C136"/>
    <mergeCell ref="B137:C137"/>
    <mergeCell ref="A138:C138"/>
    <mergeCell ref="B139:C139"/>
    <mergeCell ref="A140:C140"/>
    <mergeCell ref="A142:D142"/>
    <mergeCell ref="A143:D143"/>
    <mergeCell ref="A131:D131"/>
    <mergeCell ref="B111:C111"/>
    <mergeCell ref="B112:C112"/>
    <mergeCell ref="B113:C113"/>
    <mergeCell ref="B114:C114"/>
    <mergeCell ref="A115:C115"/>
    <mergeCell ref="A116:C116"/>
    <mergeCell ref="A117:D117"/>
    <mergeCell ref="A126:C126"/>
    <mergeCell ref="A127:D127"/>
    <mergeCell ref="A128:D128"/>
    <mergeCell ref="A129:B129"/>
    <mergeCell ref="A110:D110"/>
    <mergeCell ref="A84:B84"/>
    <mergeCell ref="A86:D86"/>
    <mergeCell ref="A88:D88"/>
    <mergeCell ref="A97:B97"/>
    <mergeCell ref="A99:D99"/>
    <mergeCell ref="A102:C102"/>
    <mergeCell ref="A104:D104"/>
    <mergeCell ref="B105:C105"/>
    <mergeCell ref="B106:C106"/>
    <mergeCell ref="B107:C107"/>
    <mergeCell ref="A108:C108"/>
    <mergeCell ref="A76:D76"/>
    <mergeCell ref="B63:C63"/>
    <mergeCell ref="B64:C64"/>
    <mergeCell ref="B65:C65"/>
    <mergeCell ref="B66:C66"/>
    <mergeCell ref="A67:C67"/>
    <mergeCell ref="A69:D69"/>
    <mergeCell ref="B70:C70"/>
    <mergeCell ref="B71:C71"/>
    <mergeCell ref="B72:C72"/>
    <mergeCell ref="B73:C73"/>
    <mergeCell ref="A74:C74"/>
    <mergeCell ref="B62:C62"/>
    <mergeCell ref="B33:C33"/>
    <mergeCell ref="A34:C34"/>
    <mergeCell ref="A36:D36"/>
    <mergeCell ref="A38:D38"/>
    <mergeCell ref="A44:B44"/>
    <mergeCell ref="A46:D46"/>
    <mergeCell ref="A56:B56"/>
    <mergeCell ref="A58:D58"/>
    <mergeCell ref="B59:C59"/>
    <mergeCell ref="B60:C60"/>
    <mergeCell ref="B61:C61"/>
    <mergeCell ref="B32:C32"/>
    <mergeCell ref="B21:C21"/>
    <mergeCell ref="B22:C22"/>
    <mergeCell ref="B23:C23"/>
    <mergeCell ref="B24:C24"/>
    <mergeCell ref="A25:C25"/>
    <mergeCell ref="A26:D26"/>
    <mergeCell ref="B27:C27"/>
    <mergeCell ref="B28:C28"/>
    <mergeCell ref="B29:C29"/>
    <mergeCell ref="B30:C30"/>
    <mergeCell ref="B31:C31"/>
    <mergeCell ref="D14:D15"/>
    <mergeCell ref="A15:B15"/>
    <mergeCell ref="A17:D17"/>
    <mergeCell ref="A18:C18"/>
    <mergeCell ref="A19:D19"/>
    <mergeCell ref="B20:C20"/>
    <mergeCell ref="B8:C8"/>
    <mergeCell ref="B9:C9"/>
    <mergeCell ref="B10:C10"/>
    <mergeCell ref="B11:C11"/>
    <mergeCell ref="A13:B13"/>
    <mergeCell ref="A14:B14"/>
    <mergeCell ref="C14:C15"/>
    <mergeCell ref="A7:D7"/>
    <mergeCell ref="A1:D1"/>
    <mergeCell ref="A2:D2"/>
    <mergeCell ref="A3:D3"/>
    <mergeCell ref="B4:D4"/>
    <mergeCell ref="B5:D5"/>
  </mergeCells>
  <printOptions horizontalCentered="1"/>
  <pageMargins left="0.78740157480314965" right="0.78740157480314965" top="1.5748031496062993" bottom="1.1811023622047245" header="0" footer="0"/>
  <pageSetup paperSize="9" scale="67" fitToHeight="2" orientation="portrait" r:id="rId1"/>
  <headerFooter>
    <oddHeader>&amp;L
&amp;G</oddHeader>
    <oddFooter>&amp;L&amp;G</oddFooter>
  </headerFooter>
  <rowBreaks count="1" manualBreakCount="1">
    <brk id="74" max="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Quadro Resumo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'1'!Area_de_impressao</vt:lpstr>
      <vt:lpstr>'2'!Area_de_impressao</vt:lpstr>
      <vt:lpstr>'3'!Area_de_impressao</vt:lpstr>
      <vt:lpstr>'4'!Area_de_impressao</vt:lpstr>
      <vt:lpstr>'5'!Area_de_impressao</vt:lpstr>
      <vt:lpstr>'6'!Area_de_impressao</vt:lpstr>
      <vt:lpstr>'7'!Area_de_impressao</vt:lpstr>
      <vt:lpstr>'8'!Area_de_impressao</vt:lpstr>
      <vt:lpstr>'9'!Area_de_impressao</vt:lpstr>
      <vt:lpstr>'Quadro Resumo'!Area_de_impressao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Albuquerque Mazon</dc:creator>
  <cp:lastModifiedBy>Pmspa</cp:lastModifiedBy>
  <cp:lastPrinted>2025-01-13T18:17:24Z</cp:lastPrinted>
  <dcterms:created xsi:type="dcterms:W3CDTF">2015-02-20T16:21:26Z</dcterms:created>
  <dcterms:modified xsi:type="dcterms:W3CDTF">2025-01-21T13:34:07Z</dcterms:modified>
</cp:coreProperties>
</file>